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10.254.7.80\Ufficio-IV-Relazioni-Sindacali\ACCORDI\FUNZIONI CENTRALI\EX AGES EX SSPAL PROGR. EC. 2020\EX AGES EX SSPAL PROGR. EC. 2020 II INVIO EX AGES ED SSPAL\"/>
    </mc:Choice>
  </mc:AlternateContent>
  <bookViews>
    <workbookView xWindow="0" yWindow="0" windowWidth="15360" windowHeight="5100" firstSheet="7" activeTab="7"/>
  </bookViews>
  <sheets>
    <sheet name="Personale exsspal" sheetId="1" state="hidden" r:id="rId1"/>
    <sheet name="Foglio1" sheetId="12" state="hidden" r:id="rId2"/>
    <sheet name="Foglio2" sheetId="13" state="hidden" r:id="rId3"/>
    <sheet name="Foglio3" sheetId="14" state="hidden" r:id="rId4"/>
    <sheet name="riepilogo" sheetId="11" state="hidden" r:id="rId5"/>
    <sheet name="conteggi" sheetId="4" state="hidden" r:id="rId6"/>
    <sheet name="Prospetto aggiornato exsspal" sheetId="6" state="hidden" r:id="rId7"/>
    <sheet name="calcoli" sheetId="15" r:id="rId8"/>
  </sheets>
  <definedNames>
    <definedName name="_xlnm._FilterDatabase" localSheetId="0" hidden="1">'Personale exsspal'!$A$4:$G$48</definedName>
    <definedName name="_xlnm.Print_Area" localSheetId="7">calcoli!$A$1:$O$18</definedName>
    <definedName name="_xlnm.Print_Area" localSheetId="5">conteggi!$A$1:$J$14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5" l="1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  <c r="H3" i="15" l="1"/>
  <c r="H5" i="15"/>
  <c r="I5" i="15" s="1"/>
  <c r="J5" i="15" s="1"/>
  <c r="H7" i="15"/>
  <c r="H13" i="15"/>
  <c r="I13" i="15" s="1"/>
  <c r="J13" i="15" s="1"/>
  <c r="H15" i="15"/>
  <c r="H17" i="15"/>
  <c r="H12" i="15"/>
  <c r="I12" i="15" s="1"/>
  <c r="J12" i="15" s="1"/>
  <c r="H16" i="15"/>
  <c r="I16" i="15" s="1"/>
  <c r="J16" i="15" s="1"/>
  <c r="H2" i="15"/>
  <c r="I2" i="15" s="1"/>
  <c r="J2" i="15" s="1"/>
  <c r="H4" i="15"/>
  <c r="I4" i="15" s="1"/>
  <c r="J4" i="15" s="1"/>
  <c r="H6" i="15"/>
  <c r="I6" i="15" s="1"/>
  <c r="J6" i="15" s="1"/>
  <c r="H8" i="15"/>
  <c r="I8" i="15" s="1"/>
  <c r="J8" i="15" s="1"/>
  <c r="H9" i="15"/>
  <c r="I9" i="15" s="1"/>
  <c r="J9" i="15" s="1"/>
  <c r="H10" i="15"/>
  <c r="I10" i="15" s="1"/>
  <c r="J10" i="15" s="1"/>
  <c r="H11" i="15"/>
  <c r="I11" i="15" s="1"/>
  <c r="J11" i="15" s="1"/>
  <c r="H14" i="15"/>
  <c r="I14" i="15" s="1"/>
  <c r="J14" i="15" s="1"/>
  <c r="I3" i="15"/>
  <c r="J3" i="15" s="1"/>
  <c r="I7" i="15"/>
  <c r="J7" i="15" s="1"/>
  <c r="I15" i="15"/>
  <c r="J15" i="15" s="1"/>
  <c r="I17" i="15"/>
  <c r="J17" i="15" s="1"/>
  <c r="O19" i="6"/>
  <c r="P4" i="6"/>
  <c r="B7" i="4" l="1"/>
  <c r="I5" i="4"/>
  <c r="I4" i="4"/>
  <c r="P22" i="6" l="1"/>
  <c r="N4" i="6" s="1"/>
  <c r="I6" i="4"/>
  <c r="I7" i="4"/>
  <c r="I8" i="4"/>
  <c r="I9" i="4"/>
  <c r="I10" i="4"/>
  <c r="P24" i="6" l="1"/>
  <c r="I11" i="4"/>
  <c r="B10" i="4"/>
  <c r="B9" i="4"/>
  <c r="B8" i="4"/>
  <c r="B6" i="4"/>
  <c r="B5" i="4"/>
  <c r="B4" i="4"/>
  <c r="N12" i="6"/>
  <c r="N11" i="6"/>
  <c r="N8" i="6"/>
  <c r="N7" i="6"/>
  <c r="P5" i="6"/>
  <c r="P9" i="6"/>
  <c r="P10" i="6"/>
  <c r="N5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I4" i="6" l="1"/>
  <c r="J4" i="6" s="1"/>
  <c r="K4" i="6" s="1"/>
  <c r="I8" i="6"/>
  <c r="I3" i="6"/>
  <c r="I7" i="6"/>
  <c r="J7" i="6" s="1"/>
  <c r="K7" i="6" s="1"/>
  <c r="P7" i="6" s="1"/>
  <c r="I13" i="6"/>
  <c r="J13" i="6" s="1"/>
  <c r="K13" i="6" s="1"/>
  <c r="N19" i="6"/>
  <c r="I5" i="6"/>
  <c r="J5" i="6" s="1"/>
  <c r="K5" i="6" s="1"/>
  <c r="I6" i="6"/>
  <c r="J6" i="6" s="1"/>
  <c r="K6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P12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I18" i="6"/>
  <c r="J18" i="6" s="1"/>
  <c r="K18" i="6" s="1"/>
  <c r="J3" i="6"/>
  <c r="K3" i="6" s="1"/>
  <c r="J8" i="6"/>
  <c r="K8" i="6" s="1"/>
  <c r="P8" i="6" s="1"/>
  <c r="K17" i="6" l="1"/>
  <c r="P11" i="6"/>
  <c r="P19" i="6" l="1"/>
  <c r="F11" i="4"/>
  <c r="G5" i="4"/>
  <c r="G6" i="4"/>
  <c r="G7" i="4"/>
  <c r="G8" i="4"/>
  <c r="G9" i="4"/>
  <c r="G10" i="4"/>
  <c r="G4" i="4"/>
  <c r="D5" i="4"/>
  <c r="D6" i="4"/>
  <c r="D7" i="4"/>
  <c r="D8" i="4"/>
  <c r="D9" i="4"/>
  <c r="D10" i="4"/>
  <c r="D4" i="4"/>
  <c r="B11" i="4"/>
  <c r="D11" i="4" l="1"/>
</calcChain>
</file>

<file path=xl/comments1.xml><?xml version="1.0" encoding="utf-8"?>
<comments xmlns="http://schemas.openxmlformats.org/spreadsheetml/2006/main">
  <authors>
    <author>Gianluca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dei 4 dipendenti 3 esclusi perché hanno usufruito della progressione da F3 a F4 nel 2019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dei 9 dipendenti 5 esclusi perché hanno usufruito della progressione da F2 a F3 nel 2019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dei 3 dipendenti 2 esclusi perché hanno usufruito della progressione da F3 a F4 nel 2019</t>
        </r>
      </text>
    </comment>
  </commentList>
</comments>
</file>

<file path=xl/comments2.xml><?xml version="1.0" encoding="utf-8"?>
<comments xmlns="http://schemas.openxmlformats.org/spreadsheetml/2006/main">
  <authors>
    <author>Gianluca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dei 4 dipendenti 3 esclusi perché hanno usufruito della progressione da F3 a F4 nel 2019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dei 9 dipendenti 5 esclusi perché hanno usufruito della progressione da F2 a F3 nel 2019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dei 3 dipendenti 2 esclusi perché hanno usufruito della progressione da F3 a F4 nel 2019</t>
        </r>
      </text>
    </comment>
  </commentList>
</comments>
</file>

<file path=xl/sharedStrings.xml><?xml version="1.0" encoding="utf-8"?>
<sst xmlns="http://schemas.openxmlformats.org/spreadsheetml/2006/main" count="606" uniqueCount="206">
  <si>
    <t>Cognome</t>
  </si>
  <si>
    <t>Nome</t>
  </si>
  <si>
    <t>Accattato</t>
  </si>
  <si>
    <t>Antonio</t>
  </si>
  <si>
    <t>Antonelli</t>
  </si>
  <si>
    <t>Lucia</t>
  </si>
  <si>
    <t>Avallone</t>
  </si>
  <si>
    <t>Eugenio</t>
  </si>
  <si>
    <t>Carta</t>
  </si>
  <si>
    <t>Marina</t>
  </si>
  <si>
    <t>Chiuchiarelli</t>
  </si>
  <si>
    <t>Raffaella</t>
  </si>
  <si>
    <t>Cimilluca</t>
  </si>
  <si>
    <t>Francesco</t>
  </si>
  <si>
    <t>Cinconze</t>
  </si>
  <si>
    <t>Maria Laura</t>
  </si>
  <si>
    <t>Converti</t>
  </si>
  <si>
    <t>Maria Antonietta</t>
  </si>
  <si>
    <t>Corazza</t>
  </si>
  <si>
    <t>Rovena</t>
  </si>
  <si>
    <t>Cotimbo</t>
  </si>
  <si>
    <t>Andrea</t>
  </si>
  <si>
    <t>Cuoppolo</t>
  </si>
  <si>
    <t>Olimpia Ilaria</t>
  </si>
  <si>
    <t>Qualifica</t>
  </si>
  <si>
    <t>Area</t>
  </si>
  <si>
    <t>Fascia</t>
  </si>
  <si>
    <t>assistente economico finanziario</t>
  </si>
  <si>
    <t>II</t>
  </si>
  <si>
    <t>F3</t>
  </si>
  <si>
    <t>funzionario di biblioteca</t>
  </si>
  <si>
    <t>III</t>
  </si>
  <si>
    <t>F2</t>
  </si>
  <si>
    <t>funzionario amministrativo</t>
  </si>
  <si>
    <t>funzionario economico finanziario</t>
  </si>
  <si>
    <t>Di Falco</t>
  </si>
  <si>
    <t>Veronica</t>
  </si>
  <si>
    <t>F4</t>
  </si>
  <si>
    <t>Francesca</t>
  </si>
  <si>
    <t>Finocchietti</t>
  </si>
  <si>
    <t>Anna</t>
  </si>
  <si>
    <t>Giallonardi</t>
  </si>
  <si>
    <t>Patrizia</t>
  </si>
  <si>
    <t>Labbrozzi</t>
  </si>
  <si>
    <t>Diana</t>
  </si>
  <si>
    <t>Laurenti</t>
  </si>
  <si>
    <t>Fabrizio</t>
  </si>
  <si>
    <t>Lorenzini</t>
  </si>
  <si>
    <t>Luise</t>
  </si>
  <si>
    <t>Silvia</t>
  </si>
  <si>
    <t>Mattioli</t>
  </si>
  <si>
    <t>Daniela</t>
  </si>
  <si>
    <t>Mele</t>
  </si>
  <si>
    <t>Massimiliano</t>
  </si>
  <si>
    <t>Menga</t>
  </si>
  <si>
    <t>Maria Grazia</t>
  </si>
  <si>
    <t>Minutillo</t>
  </si>
  <si>
    <t>Daniele</t>
  </si>
  <si>
    <t>F6</t>
  </si>
  <si>
    <t>F1</t>
  </si>
  <si>
    <t>assistente amministrativo</t>
  </si>
  <si>
    <t>Montemurro Scibeli</t>
  </si>
  <si>
    <t>Annarita</t>
  </si>
  <si>
    <t>Nipote</t>
  </si>
  <si>
    <t>Luisa</t>
  </si>
  <si>
    <t>Paladini</t>
  </si>
  <si>
    <t>Roberta</t>
  </si>
  <si>
    <t>Pardi</t>
  </si>
  <si>
    <t>Caterina</t>
  </si>
  <si>
    <t>Patania</t>
  </si>
  <si>
    <t>Alessandra</t>
  </si>
  <si>
    <t>Quattrociocchi</t>
  </si>
  <si>
    <t>Mauro</t>
  </si>
  <si>
    <t>Raccuglia</t>
  </si>
  <si>
    <t>Reitano</t>
  </si>
  <si>
    <t>Gianluca</t>
  </si>
  <si>
    <t>Ricciardi</t>
  </si>
  <si>
    <t>Iolanda</t>
  </si>
  <si>
    <t>Riem</t>
  </si>
  <si>
    <t>Alessia</t>
  </si>
  <si>
    <t>Romanelli</t>
  </si>
  <si>
    <t>Elina</t>
  </si>
  <si>
    <t>Saija</t>
  </si>
  <si>
    <t>Scrocca</t>
  </si>
  <si>
    <t>Mariano</t>
  </si>
  <si>
    <t>Torre</t>
  </si>
  <si>
    <t>Damiano</t>
  </si>
  <si>
    <t>Trovato</t>
  </si>
  <si>
    <t>Alessandro</t>
  </si>
  <si>
    <t>Turella</t>
  </si>
  <si>
    <t>Gloria</t>
  </si>
  <si>
    <t>Urso</t>
  </si>
  <si>
    <t>Letizia</t>
  </si>
  <si>
    <t>Viggiano</t>
  </si>
  <si>
    <t>Nicola</t>
  </si>
  <si>
    <t>Villarosa</t>
  </si>
  <si>
    <t>Tiziana</t>
  </si>
  <si>
    <t>Vozzolo</t>
  </si>
  <si>
    <t>Antonella</t>
  </si>
  <si>
    <t>Zappala'</t>
  </si>
  <si>
    <t>Alfia Loredana</t>
  </si>
  <si>
    <t>Ziccolella</t>
  </si>
  <si>
    <t>Antonietta</t>
  </si>
  <si>
    <t>F5</t>
  </si>
  <si>
    <t>F7</t>
  </si>
  <si>
    <t>II-F3</t>
  </si>
  <si>
    <t>III-F2</t>
  </si>
  <si>
    <t>III-F3</t>
  </si>
  <si>
    <t>II-F4</t>
  </si>
  <si>
    <t>II-F6</t>
  </si>
  <si>
    <t>III-F4</t>
  </si>
  <si>
    <t>III-F1</t>
  </si>
  <si>
    <t>III-F5</t>
  </si>
  <si>
    <t>III-F7</t>
  </si>
  <si>
    <t>Area&amp;Fascia</t>
  </si>
  <si>
    <t>note:</t>
  </si>
  <si>
    <t>apicale</t>
  </si>
  <si>
    <t>Totale complessivo</t>
  </si>
  <si>
    <t>III-F6</t>
  </si>
  <si>
    <t>II-F5</t>
  </si>
  <si>
    <t>peo2019</t>
  </si>
  <si>
    <t>%</t>
  </si>
  <si>
    <t>inserire %</t>
  </si>
  <si>
    <t>PERSONALE EXSSPAL</t>
  </si>
  <si>
    <t>Precedente posizione economica</t>
  </si>
  <si>
    <t>Nuove aree</t>
  </si>
  <si>
    <t>Fasce</t>
  </si>
  <si>
    <t>UNITA’ DI PERSONALE avente diritto</t>
  </si>
  <si>
    <t>Stipendi 1/01/2020  (per 12 mensilità)</t>
  </si>
  <si>
    <t xml:space="preserve">IVC per 13 mensilità (0,7%) </t>
  </si>
  <si>
    <t>13^ su stipendio</t>
  </si>
  <si>
    <t>Indennità di amministrazione</t>
  </si>
  <si>
    <t>TOTALE NETTO ONERI STATO</t>
  </si>
  <si>
    <t>ONERI STATO 35,18% *</t>
  </si>
  <si>
    <t>TOTALE LORDO ONERI STATO</t>
  </si>
  <si>
    <t>PASSAGGIO RETRIBUTIVO</t>
  </si>
  <si>
    <t>DIFFERENZIALE UNITARIO ANNUO LORDO STATO</t>
  </si>
  <si>
    <t xml:space="preserve">totale progressioni </t>
  </si>
  <si>
    <t>totale progressioni con arrotondamento</t>
  </si>
  <si>
    <t>importo</t>
  </si>
  <si>
    <t>==</t>
  </si>
  <si>
    <t>TERZA AREA</t>
  </si>
  <si>
    <t>da F6 A F7</t>
  </si>
  <si>
    <t>da F5 a F6</t>
  </si>
  <si>
    <t>C3S</t>
  </si>
  <si>
    <t>da F4 A F5</t>
  </si>
  <si>
    <t>C3</t>
  </si>
  <si>
    <t>DA F3 A F4</t>
  </si>
  <si>
    <t>C2</t>
  </si>
  <si>
    <t>DA F2 A F3</t>
  </si>
  <si>
    <t>C1S</t>
  </si>
  <si>
    <t>DA F1 A F2</t>
  </si>
  <si>
    <t>C1</t>
  </si>
  <si>
    <t>SECONDA AREA</t>
  </si>
  <si>
    <t>DA F5 A F6</t>
  </si>
  <si>
    <t>DA F4 A F5</t>
  </si>
  <si>
    <t>B3S</t>
  </si>
  <si>
    <t>B3</t>
  </si>
  <si>
    <t>B2</t>
  </si>
  <si>
    <t>B1</t>
  </si>
  <si>
    <t>PRIMA AREA</t>
  </si>
  <si>
    <t>A1S</t>
  </si>
  <si>
    <t>A1</t>
  </si>
  <si>
    <t>* La percentuale degli oneri conto Stato del 35,18% è data dalla somma delle percentuali del 23,80% (CPDEL), del 2,88% (INADEL) e dell'8,50 % (IRAP).</t>
  </si>
  <si>
    <t>stipendio mensile</t>
  </si>
  <si>
    <t>dato percentuale  dato dal rapporto tra le unità di personale avente diritto e le progressioni previste</t>
  </si>
  <si>
    <t>III/F7</t>
  </si>
  <si>
    <t>III/F6</t>
  </si>
  <si>
    <t>III/F5</t>
  </si>
  <si>
    <t>III/F4</t>
  </si>
  <si>
    <t>III/F3</t>
  </si>
  <si>
    <t>III/F2</t>
  </si>
  <si>
    <t>III/F1</t>
  </si>
  <si>
    <t>II/F6</t>
  </si>
  <si>
    <t>II/F5</t>
  </si>
  <si>
    <t>II/F4</t>
  </si>
  <si>
    <t>II/F3</t>
  </si>
  <si>
    <t>II/F2</t>
  </si>
  <si>
    <t>II/F1</t>
  </si>
  <si>
    <t>I/F3</t>
  </si>
  <si>
    <t>I/F2</t>
  </si>
  <si>
    <t>I/F1</t>
  </si>
  <si>
    <t>progressioni previste</t>
  </si>
  <si>
    <t>AREA II - DA F3 A F4</t>
  </si>
  <si>
    <t>AREA III - DA F3 A F4</t>
  </si>
  <si>
    <t>AREA II - DA F4 A F5</t>
  </si>
  <si>
    <t>AREA III - DA F4 A F5</t>
  </si>
  <si>
    <t>AREA III - DA F1 A F2</t>
  </si>
  <si>
    <t>AREA III - DA F5 A F6</t>
  </si>
  <si>
    <t>AREA III - DA F2 A F3</t>
  </si>
  <si>
    <t>€</t>
  </si>
  <si>
    <t>Conteggio</t>
  </si>
  <si>
    <t>assistente tecnico</t>
  </si>
  <si>
    <t>risultato</t>
  </si>
  <si>
    <t>doppio click sul numero per aprire dettaglio</t>
  </si>
  <si>
    <t>da/a/=</t>
  </si>
  <si>
    <t>con sentenza è stata riconosciuta la fascia F2 a far data 1.1.2013</t>
  </si>
  <si>
    <t>PERSONALE EXSSPAL - FASCIA</t>
  </si>
  <si>
    <t>inserire unità</t>
  </si>
  <si>
    <t>% arrotondato</t>
  </si>
  <si>
    <t>tot. 44</t>
  </si>
  <si>
    <t>ipotesi</t>
  </si>
  <si>
    <t>totale</t>
  </si>
  <si>
    <t>unità ad*</t>
  </si>
  <si>
    <t>al netto delle PEO 2019 (10)</t>
  </si>
  <si>
    <t xml:space="preserve">*aventi diritto al netto delle PEO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</si>
</sst>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[$€-410]\ * #,##0.00_-;\-[$€-410]\ * #,##0.00_-;_-[$€-410]\ * &quot;-&quot;??_-;_-@_-"/>
    <numFmt numFmtId="165" formatCode="0.000"/>
    <numFmt numFmtId="166" formatCode="&quot;€&quot;\ #,##0.00"/>
    <numFmt numFmtId="167" formatCode="_-* #,##0.00\ [$€-410]_-;\-* #,##0.00\ [$€-410]_-;_-* &quot;-&quot;??\ [$€-410]_-;_-@_-"/>
    <numFmt numFmtId="168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45">
    <xf numFmtId="0" fontId="0" fillId="0" borderId="0" xfId="0"/>
    <xf numFmtId="0" fontId="2" fillId="4" borderId="2" xfId="0" applyFont="1" applyFill="1" applyBorder="1" applyAlignment="1">
      <alignment horizontal="justify" vertical="center" wrapText="1"/>
    </xf>
    <xf numFmtId="0" fontId="4" fillId="0" borderId="0" xfId="0" applyFont="1"/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164" fontId="2" fillId="0" borderId="2" xfId="3" applyNumberFormat="1" applyFont="1" applyFill="1" applyBorder="1"/>
    <xf numFmtId="0" fontId="2" fillId="0" borderId="0" xfId="3" applyFont="1" applyBorder="1" applyAlignment="1">
      <alignment horizontal="center"/>
    </xf>
    <xf numFmtId="164" fontId="2" fillId="0" borderId="0" xfId="3" applyNumberFormat="1" applyFont="1" applyFill="1" applyBorder="1"/>
    <xf numFmtId="0" fontId="3" fillId="0" borderId="0" xfId="3" applyFont="1" applyFill="1" applyBorder="1" applyAlignment="1">
      <alignment horizontal="center"/>
    </xf>
    <xf numFmtId="0" fontId="3" fillId="0" borderId="2" xfId="3" applyFont="1" applyBorder="1"/>
    <xf numFmtId="0" fontId="3" fillId="0" borderId="2" xfId="3" applyFont="1" applyBorder="1" applyAlignment="1">
      <alignment wrapText="1"/>
    </xf>
    <xf numFmtId="0" fontId="3" fillId="0" borderId="0" xfId="3" applyFont="1" applyBorder="1"/>
    <xf numFmtId="164" fontId="3" fillId="0" borderId="0" xfId="3" applyNumberFormat="1" applyFont="1"/>
    <xf numFmtId="0" fontId="2" fillId="0" borderId="0" xfId="3" applyFont="1" applyBorder="1"/>
    <xf numFmtId="0" fontId="2" fillId="0" borderId="2" xfId="3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6" fillId="0" borderId="0" xfId="0" applyFont="1"/>
    <xf numFmtId="0" fontId="16" fillId="0" borderId="6" xfId="0" applyFont="1" applyBorder="1" applyAlignment="1">
      <alignment horizontal="left"/>
    </xf>
    <xf numFmtId="0" fontId="16" fillId="0" borderId="8" xfId="0" applyNumberFormat="1" applyFont="1" applyBorder="1" applyAlignment="1">
      <alignment horizontal="center"/>
    </xf>
    <xf numFmtId="0" fontId="16" fillId="0" borderId="9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3" fillId="0" borderId="0" xfId="3" applyFont="1"/>
    <xf numFmtId="0" fontId="3" fillId="0" borderId="2" xfId="3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3" fillId="0" borderId="2" xfId="3" quotePrefix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2" xfId="3" applyFont="1" applyFill="1" applyBorder="1"/>
    <xf numFmtId="164" fontId="5" fillId="5" borderId="2" xfId="2" applyNumberFormat="1" applyFont="1" applyFill="1" applyBorder="1"/>
    <xf numFmtId="164" fontId="7" fillId="5" borderId="2" xfId="2" applyNumberFormat="1" applyFont="1" applyFill="1" applyBorder="1"/>
    <xf numFmtId="164" fontId="7" fillId="0" borderId="2" xfId="2" applyNumberFormat="1" applyFont="1" applyFill="1" applyBorder="1"/>
    <xf numFmtId="0" fontId="3" fillId="0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64" fontId="3" fillId="0" borderId="2" xfId="3" applyNumberFormat="1" applyFont="1" applyFill="1" applyBorder="1"/>
    <xf numFmtId="164" fontId="7" fillId="0" borderId="3" xfId="2" applyNumberFormat="1" applyFont="1" applyFill="1" applyBorder="1"/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2" xfId="3" applyFont="1" applyBorder="1" applyAlignment="1">
      <alignment horizontal="center" wrapText="1"/>
    </xf>
    <xf numFmtId="164" fontId="5" fillId="0" borderId="0" xfId="2" applyNumberFormat="1" applyFont="1" applyFill="1" applyBorder="1"/>
    <xf numFmtId="0" fontId="3" fillId="0" borderId="0" xfId="3" applyFont="1" applyAlignment="1">
      <alignment vertical="center" wrapText="1"/>
    </xf>
    <xf numFmtId="0" fontId="3" fillId="4" borderId="4" xfId="3" applyFont="1" applyFill="1" applyBorder="1" applyAlignment="1">
      <alignment vertical="center"/>
    </xf>
    <xf numFmtId="164" fontId="3" fillId="0" borderId="0" xfId="3" applyNumberFormat="1" applyFont="1" applyBorder="1"/>
    <xf numFmtId="1" fontId="3" fillId="0" borderId="2" xfId="3" applyNumberFormat="1" applyFont="1" applyFill="1" applyBorder="1"/>
    <xf numFmtId="1" fontId="3" fillId="0" borderId="2" xfId="3" applyNumberFormat="1" applyFont="1" applyFill="1" applyBorder="1" applyAlignment="1">
      <alignment horizontal="center" vertical="center" wrapText="1"/>
    </xf>
    <xf numFmtId="1" fontId="3" fillId="3" borderId="2" xfId="3" applyNumberFormat="1" applyFont="1" applyFill="1" applyBorder="1" applyAlignment="1">
      <alignment horizontal="center" vertical="center" wrapText="1"/>
    </xf>
    <xf numFmtId="1" fontId="3" fillId="3" borderId="2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2" fillId="0" borderId="0" xfId="3" applyNumberFormat="1" applyFont="1" applyFill="1" applyBorder="1" applyAlignment="1">
      <alignment horizontal="center"/>
    </xf>
    <xf numFmtId="0" fontId="15" fillId="0" borderId="0" xfId="0" applyFont="1" applyProtection="1"/>
    <xf numFmtId="0" fontId="13" fillId="0" borderId="0" xfId="0" applyFont="1" applyAlignment="1" applyProtection="1">
      <alignment horizontal="left"/>
    </xf>
    <xf numFmtId="0" fontId="4" fillId="0" borderId="0" xfId="0" applyFont="1" applyProtection="1"/>
    <xf numFmtId="166" fontId="4" fillId="0" borderId="0" xfId="0" applyNumberFormat="1" applyFont="1"/>
    <xf numFmtId="0" fontId="20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/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5" fillId="0" borderId="7" xfId="0" applyFont="1" applyBorder="1" applyProtection="1"/>
    <xf numFmtId="0" fontId="15" fillId="0" borderId="0" xfId="0" applyNumberFormat="1" applyFont="1" applyBorder="1" applyProtection="1"/>
    <xf numFmtId="0" fontId="21" fillId="0" borderId="0" xfId="0" applyFont="1" applyProtection="1"/>
    <xf numFmtId="166" fontId="15" fillId="0" borderId="0" xfId="0" applyNumberFormat="1" applyFont="1" applyProtection="1"/>
    <xf numFmtId="0" fontId="4" fillId="0" borderId="0" xfId="0" applyFont="1" applyAlignment="1">
      <alignment horizontal="center"/>
    </xf>
    <xf numFmtId="0" fontId="19" fillId="0" borderId="0" xfId="0" applyFont="1" applyAlignment="1" applyProtection="1">
      <alignment horizontal="center" vertical="center"/>
    </xf>
    <xf numFmtId="0" fontId="22" fillId="0" borderId="2" xfId="0" applyFont="1" applyBorder="1" applyAlignment="1">
      <alignment vertical="center"/>
    </xf>
    <xf numFmtId="0" fontId="6" fillId="2" borderId="0" xfId="0" applyFont="1" applyFill="1"/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0" xfId="0" applyNumberFormat="1" applyFont="1" applyBorder="1" applyAlignment="1">
      <alignment horizontal="center"/>
    </xf>
    <xf numFmtId="0" fontId="22" fillId="0" borderId="3" xfId="0" applyFont="1" applyBorder="1" applyAlignment="1">
      <alignment vertical="center"/>
    </xf>
    <xf numFmtId="0" fontId="23" fillId="6" borderId="12" xfId="0" applyFont="1" applyFill="1" applyBorder="1" applyAlignment="1">
      <alignment horizontal="justify" vertical="center" wrapText="1"/>
    </xf>
    <xf numFmtId="0" fontId="24" fillId="6" borderId="11" xfId="0" applyFont="1" applyFill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0" fontId="26" fillId="0" borderId="0" xfId="0" applyFont="1" applyAlignment="1" applyProtection="1">
      <alignment horizontal="left"/>
    </xf>
    <xf numFmtId="0" fontId="26" fillId="0" borderId="0" xfId="0" applyFont="1" applyProtection="1"/>
    <xf numFmtId="0" fontId="27" fillId="0" borderId="0" xfId="0" applyFont="1" applyAlignment="1" applyProtection="1">
      <alignment horizontal="center" vertical="center"/>
    </xf>
    <xf numFmtId="165" fontId="27" fillId="0" borderId="0" xfId="0" applyNumberFormat="1" applyFont="1" applyProtection="1"/>
    <xf numFmtId="0" fontId="27" fillId="0" borderId="0" xfId="0" applyFont="1" applyProtection="1"/>
    <xf numFmtId="0" fontId="26" fillId="0" borderId="0" xfId="0" applyFont="1"/>
    <xf numFmtId="0" fontId="15" fillId="0" borderId="0" xfId="0" applyFont="1" applyFill="1" applyBorder="1" applyAlignment="1" applyProtection="1">
      <alignment horizontal="left" vertical="center"/>
    </xf>
    <xf numFmtId="0" fontId="16" fillId="0" borderId="6" xfId="0" pivotButton="1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2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0" fillId="2" borderId="2" xfId="3" applyFont="1" applyFill="1" applyBorder="1" applyAlignment="1">
      <alignment vertical="center"/>
    </xf>
    <xf numFmtId="0" fontId="29" fillId="0" borderId="0" xfId="3" applyFont="1" applyAlignment="1">
      <alignment vertical="center"/>
    </xf>
    <xf numFmtId="0" fontId="31" fillId="0" borderId="0" xfId="0" applyFont="1"/>
    <xf numFmtId="0" fontId="32" fillId="0" borderId="0" xfId="0" applyFont="1"/>
    <xf numFmtId="0" fontId="6" fillId="0" borderId="7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/>
    </xf>
    <xf numFmtId="0" fontId="33" fillId="2" borderId="0" xfId="0" applyFont="1" applyFill="1"/>
    <xf numFmtId="10" fontId="2" fillId="0" borderId="2" xfId="3" applyNumberFormat="1" applyFont="1" applyBorder="1"/>
    <xf numFmtId="10" fontId="15" fillId="2" borderId="5" xfId="0" applyNumberFormat="1" applyFont="1" applyFill="1" applyBorder="1" applyProtection="1">
      <protection locked="0"/>
    </xf>
    <xf numFmtId="0" fontId="15" fillId="7" borderId="2" xfId="0" applyFont="1" applyFill="1" applyBorder="1" applyProtection="1"/>
    <xf numFmtId="10" fontId="15" fillId="7" borderId="0" xfId="1" applyNumberFormat="1" applyFont="1" applyFill="1" applyBorder="1" applyProtection="1"/>
    <xf numFmtId="166" fontId="4" fillId="7" borderId="2" xfId="0" applyNumberFormat="1" applyFont="1" applyFill="1" applyBorder="1"/>
    <xf numFmtId="0" fontId="15" fillId="7" borderId="0" xfId="0" applyNumberFormat="1" applyFont="1" applyFill="1" applyBorder="1" applyProtection="1"/>
    <xf numFmtId="0" fontId="15" fillId="7" borderId="7" xfId="0" applyNumberFormat="1" applyFont="1" applyFill="1" applyBorder="1" applyProtection="1"/>
    <xf numFmtId="0" fontId="16" fillId="0" borderId="0" xfId="0" applyFont="1" applyProtection="1"/>
    <xf numFmtId="0" fontId="22" fillId="8" borderId="2" xfId="0" applyFont="1" applyFill="1" applyBorder="1" applyAlignment="1">
      <alignment vertical="center"/>
    </xf>
    <xf numFmtId="0" fontId="22" fillId="8" borderId="3" xfId="0" applyFont="1" applyFill="1" applyBorder="1" applyAlignment="1">
      <alignment vertical="center"/>
    </xf>
    <xf numFmtId="167" fontId="3" fillId="2" borderId="2" xfId="3" applyNumberFormat="1" applyFont="1" applyFill="1" applyBorder="1" applyAlignment="1">
      <alignment horizontal="center"/>
    </xf>
    <xf numFmtId="168" fontId="4" fillId="0" borderId="0" xfId="0" applyNumberFormat="1" applyFont="1"/>
    <xf numFmtId="0" fontId="0" fillId="0" borderId="2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3" fillId="0" borderId="2" xfId="3" applyNumberFormat="1" applyBorder="1"/>
    <xf numFmtId="164" fontId="0" fillId="5" borderId="2" xfId="2" applyNumberFormat="1" applyFont="1" applyFill="1" applyBorder="1"/>
    <xf numFmtId="164" fontId="34" fillId="5" borderId="2" xfId="2" applyNumberFormat="1" applyFont="1" applyFill="1" applyBorder="1"/>
    <xf numFmtId="164" fontId="34" fillId="0" borderId="2" xfId="2" applyNumberFormat="1" applyFont="1" applyFill="1" applyBorder="1"/>
    <xf numFmtId="0" fontId="3" fillId="0" borderId="2" xfId="3" applyBorder="1"/>
    <xf numFmtId="0" fontId="0" fillId="0" borderId="2" xfId="0" applyBorder="1"/>
    <xf numFmtId="0" fontId="3" fillId="0" borderId="2" xfId="3" applyBorder="1" applyAlignment="1">
      <alignment horizontal="center"/>
    </xf>
    <xf numFmtId="164" fontId="0" fillId="0" borderId="2" xfId="0" applyNumberFormat="1" applyBorder="1"/>
    <xf numFmtId="1" fontId="3" fillId="0" borderId="2" xfId="3" applyNumberFormat="1" applyBorder="1" applyAlignment="1">
      <alignment horizontal="center" vertical="center" wrapText="1"/>
    </xf>
    <xf numFmtId="164" fontId="34" fillId="0" borderId="3" xfId="2" applyNumberFormat="1" applyFont="1" applyFill="1" applyBorder="1"/>
    <xf numFmtId="1" fontId="3" fillId="0" borderId="2" xfId="3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0" xfId="3" applyNumberFormat="1" applyFont="1" applyAlignment="1">
      <alignment horizontal="center"/>
    </xf>
    <xf numFmtId="164" fontId="2" fillId="0" borderId="2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1" fontId="3" fillId="0" borderId="2" xfId="3" applyNumberFormat="1" applyFill="1" applyBorder="1" applyAlignment="1">
      <alignment horizontal="center" vertical="center" wrapText="1"/>
    </xf>
    <xf numFmtId="164" fontId="0" fillId="0" borderId="2" xfId="2" applyNumberFormat="1" applyFont="1" applyFill="1" applyBorder="1"/>
    <xf numFmtId="1" fontId="3" fillId="0" borderId="2" xfId="3" applyNumberFormat="1" applyFill="1" applyBorder="1" applyAlignment="1">
      <alignment horizontal="center"/>
    </xf>
    <xf numFmtId="0" fontId="3" fillId="0" borderId="0" xfId="3" applyFont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Migliaia 2" xfId="2"/>
    <cellStyle name="Normale" xfId="0" builtinId="0"/>
    <cellStyle name="Normale 2" xfId="3"/>
    <cellStyle name="Percentuale" xfId="1" builtinId="5"/>
  </cellStyles>
  <dxfs count="30">
    <dxf>
      <alignment vertical="top" readingOrder="0"/>
    </dxf>
    <dxf>
      <alignment vertical="top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19049</xdr:rowOff>
    </xdr:from>
    <xdr:to>
      <xdr:col>2</xdr:col>
      <xdr:colOff>257175</xdr:colOff>
      <xdr:row>1</xdr:row>
      <xdr:rowOff>133349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14600" y="180974"/>
          <a:ext cx="1905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209550</xdr:colOff>
      <xdr:row>7</xdr:row>
      <xdr:rowOff>9525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4514850" y="1533525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209550</xdr:colOff>
      <xdr:row>4</xdr:row>
      <xdr:rowOff>0</xdr:rowOff>
    </xdr:to>
    <xdr:cxnSp macro="">
      <xdr:nvCxnSpPr>
        <xdr:cNvPr id="10" name="Connettore 2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4514850" y="95250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209550</xdr:colOff>
      <xdr:row>5</xdr:row>
      <xdr:rowOff>0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4514850" y="114300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209550</xdr:colOff>
      <xdr:row>6</xdr:row>
      <xdr:rowOff>0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514850" y="133350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209550</xdr:colOff>
      <xdr:row>8</xdr:row>
      <xdr:rowOff>0</xdr:rowOff>
    </xdr:to>
    <xdr:cxnSp macro="">
      <xdr:nvCxnSpPr>
        <xdr:cNvPr id="13" name="Connettore 2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514850" y="171450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209550</xdr:colOff>
      <xdr:row>9</xdr:row>
      <xdr:rowOff>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514850" y="190500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209550</xdr:colOff>
      <xdr:row>10</xdr:row>
      <xdr:rowOff>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4514850" y="209550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542924</xdr:colOff>
      <xdr:row>2</xdr:row>
      <xdr:rowOff>57150</xdr:rowOff>
    </xdr:from>
    <xdr:to>
      <xdr:col>3</xdr:col>
      <xdr:colOff>609599</xdr:colOff>
      <xdr:row>2</xdr:row>
      <xdr:rowOff>200024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2590799" y="400050"/>
          <a:ext cx="66675" cy="1428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426245</xdr:colOff>
      <xdr:row>0</xdr:row>
      <xdr:rowOff>83344</xdr:rowOff>
    </xdr:from>
    <xdr:to>
      <xdr:col>14</xdr:col>
      <xdr:colOff>595312</xdr:colOff>
      <xdr:row>0</xdr:row>
      <xdr:rowOff>285750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308558" y="83344"/>
          <a:ext cx="169067" cy="202406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 fPrintsWithSheet="0"/>
  </xdr:twoCellAnchor>
  <xdr:twoCellAnchor>
    <xdr:from>
      <xdr:col>16</xdr:col>
      <xdr:colOff>119062</xdr:colOff>
      <xdr:row>20</xdr:row>
      <xdr:rowOff>500061</xdr:rowOff>
    </xdr:from>
    <xdr:to>
      <xdr:col>16</xdr:col>
      <xdr:colOff>392906</xdr:colOff>
      <xdr:row>20</xdr:row>
      <xdr:rowOff>642936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0800000">
          <a:off x="12882562" y="4667249"/>
          <a:ext cx="273844" cy="1428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luca" refreshedDate="43949.68027986111" createdVersion="5" refreshedVersion="5" minRefreshableVersion="3" recordCount="44">
  <cacheSource type="worksheet">
    <worksheetSource ref="A4:G48" sheet="Personale exsspal"/>
  </cacheSource>
  <cacheFields count="7">
    <cacheField name="Cognome" numFmtId="0">
      <sharedItems/>
    </cacheField>
    <cacheField name="Nome" numFmtId="0">
      <sharedItems/>
    </cacheField>
    <cacheField name="Qualifica" numFmtId="0">
      <sharedItems/>
    </cacheField>
    <cacheField name="Area" numFmtId="0">
      <sharedItems/>
    </cacheField>
    <cacheField name="Fascia" numFmtId="0">
      <sharedItems/>
    </cacheField>
    <cacheField name="Area&amp;Fascia" numFmtId="0">
      <sharedItems count="9">
        <s v="II-F4"/>
        <s v="III-F2"/>
        <s v="III-F3"/>
        <s v="II-F3"/>
        <s v="III-F4"/>
        <s v="II-F6"/>
        <s v="III-F1"/>
        <s v="III-F5"/>
        <s v="III-F7"/>
      </sharedItems>
    </cacheField>
    <cacheField name="da/a/=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s v="Accattato"/>
    <s v="Antonio"/>
    <s v="assistente economico finanziario"/>
    <s v="II"/>
    <s v="F4"/>
    <x v="0"/>
    <s v="peo2019"/>
  </r>
  <r>
    <s v="Antonelli"/>
    <s v="Lucia"/>
    <s v="funzionario di biblioteca"/>
    <s v="III"/>
    <s v="F2"/>
    <x v="1"/>
    <s v="III-F3"/>
  </r>
  <r>
    <s v="Avallone"/>
    <s v="Eugenio"/>
    <s v="funzionario amministrativo"/>
    <s v="III"/>
    <s v="F3"/>
    <x v="2"/>
    <s v="peo2019"/>
  </r>
  <r>
    <s v="Carta"/>
    <s v="Marina"/>
    <s v="funzionario amministrativo"/>
    <s v="III"/>
    <s v="F2"/>
    <x v="1"/>
    <s v="III-F3"/>
  </r>
  <r>
    <s v="Chiuchiarelli"/>
    <s v="Raffaella"/>
    <s v="funzionario amministrativo"/>
    <s v="III"/>
    <s v="F3"/>
    <x v="2"/>
    <s v="peo2019"/>
  </r>
  <r>
    <s v="Cimilluca"/>
    <s v="Francesco"/>
    <s v="assistente amministrativo"/>
    <s v="II"/>
    <s v="F3"/>
    <x v="3"/>
    <s v="II-F4"/>
  </r>
  <r>
    <s v="Cinconze"/>
    <s v="Maria Laura"/>
    <s v="funzionario economico finanziario"/>
    <s v="III"/>
    <s v="F3"/>
    <x v="2"/>
    <s v="III-F4"/>
  </r>
  <r>
    <s v="Converti"/>
    <s v="Maria Antonietta"/>
    <s v="funzionario amministrativo"/>
    <s v="III"/>
    <s v="F4"/>
    <x v="4"/>
    <s v="peo2019"/>
  </r>
  <r>
    <s v="Corazza"/>
    <s v="Rovena"/>
    <s v="funzionario amministrativo"/>
    <s v="III"/>
    <s v="F2"/>
    <x v="1"/>
    <s v="III-F3"/>
  </r>
  <r>
    <s v="Cotimbo"/>
    <s v="Andrea"/>
    <s v="funzionario amministrativo"/>
    <s v="III"/>
    <s v="F3"/>
    <x v="2"/>
    <s v="III-F4"/>
  </r>
  <r>
    <s v="Cuoppolo"/>
    <s v="Olimpia Ilaria"/>
    <s v="funzionario amministrativo"/>
    <s v="III"/>
    <s v="F2"/>
    <x v="1"/>
    <s v="III-F3"/>
  </r>
  <r>
    <s v="Di Falco"/>
    <s v="Veronica"/>
    <s v="assistente economico finanziario"/>
    <s v="II"/>
    <s v="F4"/>
    <x v="0"/>
    <s v="II-F5"/>
  </r>
  <r>
    <s v="Finocchietti"/>
    <s v="Anna"/>
    <s v="assistente amministrativo"/>
    <s v="II"/>
    <s v="F6"/>
    <x v="5"/>
    <s v="apicale"/>
  </r>
  <r>
    <s v="Giallonardi"/>
    <s v="Patrizia"/>
    <s v="funzionario amministrativo"/>
    <s v="III"/>
    <s v="F2"/>
    <x v="1"/>
    <s v="III-F3"/>
  </r>
  <r>
    <s v="Labbrozzi"/>
    <s v="Diana"/>
    <s v="funzionario amministrativo"/>
    <s v="III"/>
    <s v="F3"/>
    <x v="2"/>
    <s v="peo2019"/>
  </r>
  <r>
    <s v="Laurenti"/>
    <s v="Fabrizio"/>
    <s v="assistente tecnico"/>
    <s v="II"/>
    <s v="F6"/>
    <x v="5"/>
    <s v="apicale"/>
  </r>
  <r>
    <s v="Lorenzini"/>
    <s v="Andrea"/>
    <s v="assistente economico finanziario"/>
    <s v="II"/>
    <s v="F3"/>
    <x v="3"/>
    <s v="II-F4"/>
  </r>
  <r>
    <s v="Luise"/>
    <s v="Silvia"/>
    <s v="funzionario amministrativo"/>
    <s v="III"/>
    <s v="F2"/>
    <x v="1"/>
    <s v="III-F3"/>
  </r>
  <r>
    <s v="Mattioli"/>
    <s v="Daniela"/>
    <s v="funzionario amministrativo"/>
    <s v="III"/>
    <s v="F4"/>
    <x v="4"/>
    <s v="III-F5"/>
  </r>
  <r>
    <s v="Mele"/>
    <s v="Massimiliano"/>
    <s v="funzionario amministrativo"/>
    <s v="III"/>
    <s v="F1"/>
    <x v="6"/>
    <s v="III-F2"/>
  </r>
  <r>
    <s v="Menga"/>
    <s v="Maria Grazia"/>
    <s v="funzionario amministrativo"/>
    <s v="III"/>
    <s v="F3"/>
    <x v="2"/>
    <s v="III-F4"/>
  </r>
  <r>
    <s v="Minutillo"/>
    <s v="Daniele"/>
    <s v="assistente amministrativo"/>
    <s v="II"/>
    <s v="F3"/>
    <x v="3"/>
    <s v="II-F4"/>
  </r>
  <r>
    <s v="Montemurro Scibeli"/>
    <s v="Annarita"/>
    <s v="assistente amministrativo"/>
    <s v="II"/>
    <s v="F3"/>
    <x v="3"/>
    <s v="II-F4"/>
  </r>
  <r>
    <s v="Nipote"/>
    <s v="Luisa"/>
    <s v="funzionario amministrativo"/>
    <s v="III"/>
    <s v="F2"/>
    <x v="1"/>
    <s v="III-F3"/>
  </r>
  <r>
    <s v="Paladini"/>
    <s v="Roberta"/>
    <s v="funzionario amministrativo"/>
    <s v="III"/>
    <s v="F4"/>
    <x v="4"/>
    <s v="peo2019"/>
  </r>
  <r>
    <s v="Pardi"/>
    <s v="Caterina"/>
    <s v="funzionario amministrativo"/>
    <s v="III"/>
    <s v="F1"/>
    <x v="6"/>
    <s v="III-F2"/>
  </r>
  <r>
    <s v="Patania"/>
    <s v="Alessandra"/>
    <s v="funzionario economico finanziario"/>
    <s v="III"/>
    <s v="F3"/>
    <x v="2"/>
    <s v="peo2019"/>
  </r>
  <r>
    <s v="Quattrociocchi"/>
    <s v="Mauro"/>
    <s v="funzionario amministrativo"/>
    <s v="III"/>
    <s v="F1"/>
    <x v="6"/>
    <s v="III-F2"/>
  </r>
  <r>
    <s v="Raccuglia"/>
    <s v="Francesco"/>
    <s v="funzionario amministrativo"/>
    <s v="III"/>
    <s v="F3"/>
    <x v="2"/>
    <s v="III-F4"/>
  </r>
  <r>
    <s v="Reitano"/>
    <s v="Gianluca"/>
    <s v="funzionario economico finanziario"/>
    <s v="III"/>
    <s v="F3"/>
    <x v="2"/>
    <s v="peo2019"/>
  </r>
  <r>
    <s v="Ricciardi"/>
    <s v="Iolanda"/>
    <s v="funzionario amministrativo"/>
    <s v="III"/>
    <s v="F1"/>
    <x v="6"/>
    <s v="III-F2"/>
  </r>
  <r>
    <s v="Riem"/>
    <s v="Alessia"/>
    <s v="assistente amministrativo"/>
    <s v="II"/>
    <s v="F6"/>
    <x v="5"/>
    <s v="apicale"/>
  </r>
  <r>
    <s v="Romanelli"/>
    <s v="Elina"/>
    <s v="funzionario amministrativo"/>
    <s v="III"/>
    <s v="F2"/>
    <x v="1"/>
    <s v="III-F3"/>
  </r>
  <r>
    <s v="Saija"/>
    <s v="Francesca"/>
    <s v="assistente economico finanziario"/>
    <s v="II"/>
    <s v="F6"/>
    <x v="5"/>
    <s v="apicale"/>
  </r>
  <r>
    <s v="Scrocca"/>
    <s v="Mariano"/>
    <s v="funzionario amministrativo"/>
    <s v="III"/>
    <s v="F2"/>
    <x v="1"/>
    <s v="III-F3"/>
  </r>
  <r>
    <s v="Torre"/>
    <s v="Damiano"/>
    <s v="funzionario amministrativo"/>
    <s v="III"/>
    <s v="F1"/>
    <x v="6"/>
    <s v="III-F2"/>
  </r>
  <r>
    <s v="Trovato"/>
    <s v="Alessandro"/>
    <s v="funzionario amministrativo"/>
    <s v="III"/>
    <s v="F1"/>
    <x v="6"/>
    <s v="III-F2"/>
  </r>
  <r>
    <s v="Turella"/>
    <s v="Gloria"/>
    <s v="assistente amministrativo"/>
    <s v="II"/>
    <s v="F6"/>
    <x v="5"/>
    <s v="apicale"/>
  </r>
  <r>
    <s v="Urso"/>
    <s v="Letizia"/>
    <s v="funzionario amministrativo"/>
    <s v="III"/>
    <s v="F5"/>
    <x v="7"/>
    <s v="III-F6"/>
  </r>
  <r>
    <s v="Viggiano"/>
    <s v="Nicola"/>
    <s v="assistente economico finanziario"/>
    <s v="II"/>
    <s v="F4"/>
    <x v="0"/>
    <s v="peo2019"/>
  </r>
  <r>
    <s v="Villarosa"/>
    <s v="Tiziana"/>
    <s v="assistente amministrativo"/>
    <s v="II"/>
    <s v="F3"/>
    <x v="3"/>
    <s v="II-F4"/>
  </r>
  <r>
    <s v="Vozzolo"/>
    <s v="Antonella"/>
    <s v="funzionario amministrativo"/>
    <s v="III"/>
    <s v="F7"/>
    <x v="8"/>
    <s v="apicale"/>
  </r>
  <r>
    <s v="Zappala'"/>
    <s v="Alfia Loredana"/>
    <s v="assistente economico finanziario"/>
    <s v="II"/>
    <s v="F3"/>
    <x v="3"/>
    <s v="II-F4"/>
  </r>
  <r>
    <s v="Ziccolella"/>
    <s v="Antonietta"/>
    <s v="funzionario amministrativo"/>
    <s v="III"/>
    <s v="F4"/>
    <x v="4"/>
    <s v="peo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ERSONALE EXSSPAL - FASCIA">
  <location ref="A2:B12" firstHeaderRow="1" firstDataRow="1" firstDataCol="1"/>
  <pivotFields count="7">
    <pivotField dataField="1" showAll="0"/>
    <pivotField showAll="0"/>
    <pivotField showAll="0"/>
    <pivotField showAll="0"/>
    <pivotField showAll="0"/>
    <pivotField axis="axisRow" showAll="0">
      <items count="10">
        <item x="3"/>
        <item x="0"/>
        <item x="5"/>
        <item x="6"/>
        <item x="1"/>
        <item x="2"/>
        <item x="4"/>
        <item x="7"/>
        <item x="8"/>
        <item t="default"/>
      </items>
    </pivotField>
    <pivotField showAll="0" defaultSubtotal="0"/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" fld="0" subtotal="count" baseField="0" baseItem="0"/>
  </dataFields>
  <formats count="30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5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5" count="0"/>
        </references>
      </pivotArea>
    </format>
    <format dxfId="24">
      <pivotArea dataOnly="0" labelOnly="1" grandRow="1" outline="0" fieldPosition="0"/>
    </format>
    <format dxfId="23">
      <pivotArea collapsedLevelsAreSubtotals="1" fieldPosition="0">
        <references count="1">
          <reference field="5" count="1">
            <x v="8"/>
          </reference>
        </references>
      </pivotArea>
    </format>
    <format dxfId="22">
      <pivotArea collapsedLevelsAreSubtotals="1" fieldPosition="0">
        <references count="1">
          <reference field="5" count="1">
            <x v="7"/>
          </reference>
        </references>
      </pivotArea>
    </format>
    <format dxfId="21">
      <pivotArea collapsedLevelsAreSubtotals="1" fieldPosition="0">
        <references count="1">
          <reference field="5" count="1">
            <x v="6"/>
          </reference>
        </references>
      </pivotArea>
    </format>
    <format dxfId="20">
      <pivotArea collapsedLevelsAreSubtotals="1" fieldPosition="0">
        <references count="1">
          <reference field="5" count="1">
            <x v="5"/>
          </reference>
        </references>
      </pivotArea>
    </format>
    <format dxfId="19">
      <pivotArea collapsedLevelsAreSubtotals="1" fieldPosition="0">
        <references count="1">
          <reference field="5" count="1">
            <x v="4"/>
          </reference>
        </references>
      </pivotArea>
    </format>
    <format dxfId="18">
      <pivotArea collapsedLevelsAreSubtotals="1" fieldPosition="0">
        <references count="1">
          <reference field="5" count="1">
            <x v="3"/>
          </reference>
        </references>
      </pivotArea>
    </format>
    <format dxfId="17">
      <pivotArea collapsedLevelsAreSubtotals="1" fieldPosition="0">
        <references count="1">
          <reference field="5" count="1">
            <x v="2"/>
          </reference>
        </references>
      </pivotArea>
    </format>
    <format dxfId="16">
      <pivotArea collapsedLevelsAreSubtotals="1" fieldPosition="0">
        <references count="1">
          <reference field="5" count="1">
            <x v="1"/>
          </reference>
        </references>
      </pivotArea>
    </format>
    <format dxfId="15">
      <pivotArea collapsedLevelsAreSubtotals="1" fieldPosition="0">
        <references count="1">
          <reference field="5" count="1">
            <x v="0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la1" displayName="Tabella1" ref="A1:G7" totalsRowShown="0">
  <autoFilter ref="A1:G7"/>
  <tableColumns count="7">
    <tableColumn id="1" name="Cognome"/>
    <tableColumn id="2" name="Nome"/>
    <tableColumn id="3" name="Qualifica"/>
    <tableColumn id="4" name="Area"/>
    <tableColumn id="5" name="Fascia"/>
    <tableColumn id="6" name="Area&amp;Fascia"/>
    <tableColumn id="7" name="da/a/=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:G5" totalsRowShown="0">
  <autoFilter ref="A1:G5"/>
  <tableColumns count="7">
    <tableColumn id="1" name="Cognome"/>
    <tableColumn id="2" name="Nome"/>
    <tableColumn id="3" name="Qualifica"/>
    <tableColumn id="4" name="Area"/>
    <tableColumn id="5" name="Fascia"/>
    <tableColumn id="6" name="Area&amp;Fascia"/>
    <tableColumn id="7" name="da/a/=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1:G5" totalsRowShown="0">
  <autoFilter ref="A1:G5"/>
  <tableColumns count="7">
    <tableColumn id="1" name="Cognome"/>
    <tableColumn id="2" name="Nome"/>
    <tableColumn id="3" name="Qualifica"/>
    <tableColumn id="4" name="Area"/>
    <tableColumn id="5" name="Fascia"/>
    <tableColumn id="6" name="Area&amp;Fascia"/>
    <tableColumn id="7" name="da/a/=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zoomScale="84" zoomScaleNormal="84" workbookViewId="0">
      <selection activeCell="K8" sqref="K8"/>
    </sheetView>
  </sheetViews>
  <sheetFormatPr defaultColWidth="9.140625" defaultRowHeight="14.25" x14ac:dyDescent="0.2"/>
  <cols>
    <col min="1" max="1" width="18.85546875" style="18" bestFit="1" customWidth="1"/>
    <col min="2" max="2" width="16.140625" style="18" bestFit="1" customWidth="1"/>
    <col min="3" max="3" width="31.85546875" style="18" bestFit="1" customWidth="1"/>
    <col min="4" max="4" width="5.28515625" style="18" bestFit="1" customWidth="1"/>
    <col min="5" max="5" width="6.85546875" style="18" bestFit="1" customWidth="1"/>
    <col min="6" max="6" width="8.85546875" style="18" bestFit="1" customWidth="1"/>
    <col min="7" max="7" width="9.42578125" style="18" bestFit="1" customWidth="1"/>
    <col min="8" max="16384" width="9.140625" style="18"/>
  </cols>
  <sheetData>
    <row r="2" spans="1:7" ht="15" x14ac:dyDescent="0.25">
      <c r="A2" s="19" t="s">
        <v>123</v>
      </c>
    </row>
    <row r="3" spans="1:7" ht="15" x14ac:dyDescent="0.25">
      <c r="A3" s="19"/>
    </row>
    <row r="4" spans="1:7" ht="25.5" x14ac:dyDescent="0.2">
      <c r="A4" s="3" t="s">
        <v>0</v>
      </c>
      <c r="B4" s="3" t="s">
        <v>1</v>
      </c>
      <c r="C4" s="4" t="s">
        <v>24</v>
      </c>
      <c r="D4" s="1" t="s">
        <v>25</v>
      </c>
      <c r="E4" s="1" t="s">
        <v>26</v>
      </c>
      <c r="F4" s="1" t="s">
        <v>114</v>
      </c>
      <c r="G4" s="82" t="s">
        <v>195</v>
      </c>
    </row>
    <row r="5" spans="1:7" s="20" customFormat="1" x14ac:dyDescent="0.2">
      <c r="A5" s="75" t="s">
        <v>2</v>
      </c>
      <c r="B5" s="75" t="s">
        <v>3</v>
      </c>
      <c r="C5" s="75" t="s">
        <v>27</v>
      </c>
      <c r="D5" s="75" t="s">
        <v>28</v>
      </c>
      <c r="E5" s="75" t="s">
        <v>37</v>
      </c>
      <c r="F5" s="81" t="s">
        <v>108</v>
      </c>
      <c r="G5" s="83" t="s">
        <v>120</v>
      </c>
    </row>
    <row r="6" spans="1:7" x14ac:dyDescent="0.2">
      <c r="A6" s="75" t="s">
        <v>4</v>
      </c>
      <c r="B6" s="75" t="s">
        <v>5</v>
      </c>
      <c r="C6" s="75" t="s">
        <v>30</v>
      </c>
      <c r="D6" s="75" t="s">
        <v>31</v>
      </c>
      <c r="E6" s="75" t="s">
        <v>32</v>
      </c>
      <c r="F6" s="81" t="s">
        <v>106</v>
      </c>
      <c r="G6" s="83" t="s">
        <v>107</v>
      </c>
    </row>
    <row r="7" spans="1:7" s="20" customFormat="1" x14ac:dyDescent="0.2">
      <c r="A7" s="75" t="s">
        <v>6</v>
      </c>
      <c r="B7" s="75" t="s">
        <v>7</v>
      </c>
      <c r="C7" s="75" t="s">
        <v>33</v>
      </c>
      <c r="D7" s="75" t="s">
        <v>31</v>
      </c>
      <c r="E7" s="75" t="s">
        <v>29</v>
      </c>
      <c r="F7" s="81" t="s">
        <v>107</v>
      </c>
      <c r="G7" s="83" t="s">
        <v>120</v>
      </c>
    </row>
    <row r="8" spans="1:7" x14ac:dyDescent="0.2">
      <c r="A8" s="75" t="s">
        <v>8</v>
      </c>
      <c r="B8" s="75" t="s">
        <v>9</v>
      </c>
      <c r="C8" s="75" t="s">
        <v>33</v>
      </c>
      <c r="D8" s="75" t="s">
        <v>31</v>
      </c>
      <c r="E8" s="75" t="s">
        <v>32</v>
      </c>
      <c r="F8" s="81" t="s">
        <v>106</v>
      </c>
      <c r="G8" s="83" t="s">
        <v>107</v>
      </c>
    </row>
    <row r="9" spans="1:7" s="20" customFormat="1" x14ac:dyDescent="0.2">
      <c r="A9" s="75" t="s">
        <v>10</v>
      </c>
      <c r="B9" s="75" t="s">
        <v>11</v>
      </c>
      <c r="C9" s="75" t="s">
        <v>33</v>
      </c>
      <c r="D9" s="75" t="s">
        <v>31</v>
      </c>
      <c r="E9" s="75" t="s">
        <v>29</v>
      </c>
      <c r="F9" s="81" t="s">
        <v>107</v>
      </c>
      <c r="G9" s="83" t="s">
        <v>120</v>
      </c>
    </row>
    <row r="10" spans="1:7" x14ac:dyDescent="0.2">
      <c r="A10" s="75" t="s">
        <v>12</v>
      </c>
      <c r="B10" s="75" t="s">
        <v>13</v>
      </c>
      <c r="C10" s="75" t="s">
        <v>60</v>
      </c>
      <c r="D10" s="75" t="s">
        <v>28</v>
      </c>
      <c r="E10" s="75" t="s">
        <v>29</v>
      </c>
      <c r="F10" s="81" t="s">
        <v>105</v>
      </c>
      <c r="G10" s="83" t="s">
        <v>108</v>
      </c>
    </row>
    <row r="11" spans="1:7" x14ac:dyDescent="0.2">
      <c r="A11" s="75" t="s">
        <v>14</v>
      </c>
      <c r="B11" s="75" t="s">
        <v>15</v>
      </c>
      <c r="C11" s="75" t="s">
        <v>34</v>
      </c>
      <c r="D11" s="75" t="s">
        <v>31</v>
      </c>
      <c r="E11" s="75" t="s">
        <v>29</v>
      </c>
      <c r="F11" s="81" t="s">
        <v>107</v>
      </c>
      <c r="G11" s="83" t="s">
        <v>110</v>
      </c>
    </row>
    <row r="12" spans="1:7" s="20" customFormat="1" x14ac:dyDescent="0.2">
      <c r="A12" s="75" t="s">
        <v>16</v>
      </c>
      <c r="B12" s="75" t="s">
        <v>17</v>
      </c>
      <c r="C12" s="75" t="s">
        <v>33</v>
      </c>
      <c r="D12" s="75" t="s">
        <v>31</v>
      </c>
      <c r="E12" s="75" t="s">
        <v>37</v>
      </c>
      <c r="F12" s="81" t="s">
        <v>110</v>
      </c>
      <c r="G12" s="83" t="s">
        <v>120</v>
      </c>
    </row>
    <row r="13" spans="1:7" x14ac:dyDescent="0.2">
      <c r="A13" s="75" t="s">
        <v>18</v>
      </c>
      <c r="B13" s="75" t="s">
        <v>19</v>
      </c>
      <c r="C13" s="75" t="s">
        <v>33</v>
      </c>
      <c r="D13" s="75" t="s">
        <v>31</v>
      </c>
      <c r="E13" s="75" t="s">
        <v>32</v>
      </c>
      <c r="F13" s="81" t="s">
        <v>106</v>
      </c>
      <c r="G13" s="83" t="s">
        <v>107</v>
      </c>
    </row>
    <row r="14" spans="1:7" x14ac:dyDescent="0.2">
      <c r="A14" s="75" t="s">
        <v>20</v>
      </c>
      <c r="B14" s="75" t="s">
        <v>21</v>
      </c>
      <c r="C14" s="75" t="s">
        <v>33</v>
      </c>
      <c r="D14" s="75" t="s">
        <v>31</v>
      </c>
      <c r="E14" s="75" t="s">
        <v>29</v>
      </c>
      <c r="F14" s="81" t="s">
        <v>107</v>
      </c>
      <c r="G14" s="83" t="s">
        <v>110</v>
      </c>
    </row>
    <row r="15" spans="1:7" x14ac:dyDescent="0.2">
      <c r="A15" s="75" t="s">
        <v>22</v>
      </c>
      <c r="B15" s="75" t="s">
        <v>23</v>
      </c>
      <c r="C15" s="75" t="s">
        <v>33</v>
      </c>
      <c r="D15" s="75" t="s">
        <v>31</v>
      </c>
      <c r="E15" s="75" t="s">
        <v>32</v>
      </c>
      <c r="F15" s="81" t="s">
        <v>106</v>
      </c>
      <c r="G15" s="83" t="s">
        <v>107</v>
      </c>
    </row>
    <row r="16" spans="1:7" x14ac:dyDescent="0.2">
      <c r="A16" s="75" t="s">
        <v>35</v>
      </c>
      <c r="B16" s="75" t="s">
        <v>36</v>
      </c>
      <c r="C16" s="75" t="s">
        <v>27</v>
      </c>
      <c r="D16" s="75" t="s">
        <v>28</v>
      </c>
      <c r="E16" s="75" t="s">
        <v>37</v>
      </c>
      <c r="F16" s="81" t="s">
        <v>108</v>
      </c>
      <c r="G16" s="83" t="s">
        <v>119</v>
      </c>
    </row>
    <row r="17" spans="1:7" s="19" customFormat="1" ht="15" x14ac:dyDescent="0.25">
      <c r="A17" s="75" t="s">
        <v>39</v>
      </c>
      <c r="B17" s="75" t="s">
        <v>40</v>
      </c>
      <c r="C17" s="75" t="s">
        <v>60</v>
      </c>
      <c r="D17" s="75" t="s">
        <v>28</v>
      </c>
      <c r="E17" s="75" t="s">
        <v>58</v>
      </c>
      <c r="F17" s="81" t="s">
        <v>109</v>
      </c>
      <c r="G17" s="84" t="s">
        <v>116</v>
      </c>
    </row>
    <row r="18" spans="1:7" x14ac:dyDescent="0.2">
      <c r="A18" s="111" t="s">
        <v>41</v>
      </c>
      <c r="B18" s="111" t="s">
        <v>42</v>
      </c>
      <c r="C18" s="111" t="s">
        <v>33</v>
      </c>
      <c r="D18" s="111" t="s">
        <v>31</v>
      </c>
      <c r="E18" s="111" t="s">
        <v>32</v>
      </c>
      <c r="F18" s="112" t="s">
        <v>106</v>
      </c>
      <c r="G18" s="83" t="s">
        <v>107</v>
      </c>
    </row>
    <row r="19" spans="1:7" s="20" customFormat="1" x14ac:dyDescent="0.2">
      <c r="A19" s="75" t="s">
        <v>43</v>
      </c>
      <c r="B19" s="75" t="s">
        <v>44</v>
      </c>
      <c r="C19" s="75" t="s">
        <v>33</v>
      </c>
      <c r="D19" s="75" t="s">
        <v>31</v>
      </c>
      <c r="E19" s="75" t="s">
        <v>29</v>
      </c>
      <c r="F19" s="81" t="s">
        <v>107</v>
      </c>
      <c r="G19" s="83" t="s">
        <v>120</v>
      </c>
    </row>
    <row r="20" spans="1:7" s="19" customFormat="1" ht="15" x14ac:dyDescent="0.25">
      <c r="A20" s="75" t="s">
        <v>45</v>
      </c>
      <c r="B20" s="75" t="s">
        <v>46</v>
      </c>
      <c r="C20" s="75" t="s">
        <v>192</v>
      </c>
      <c r="D20" s="75" t="s">
        <v>28</v>
      </c>
      <c r="E20" s="75" t="s">
        <v>58</v>
      </c>
      <c r="F20" s="81" t="s">
        <v>109</v>
      </c>
      <c r="G20" s="84" t="s">
        <v>116</v>
      </c>
    </row>
    <row r="21" spans="1:7" x14ac:dyDescent="0.2">
      <c r="A21" s="75" t="s">
        <v>47</v>
      </c>
      <c r="B21" s="75" t="s">
        <v>21</v>
      </c>
      <c r="C21" s="75" t="s">
        <v>27</v>
      </c>
      <c r="D21" s="75" t="s">
        <v>28</v>
      </c>
      <c r="E21" s="75" t="s">
        <v>29</v>
      </c>
      <c r="F21" s="81" t="s">
        <v>105</v>
      </c>
      <c r="G21" s="83" t="s">
        <v>108</v>
      </c>
    </row>
    <row r="22" spans="1:7" x14ac:dyDescent="0.2">
      <c r="A22" s="75" t="s">
        <v>48</v>
      </c>
      <c r="B22" s="75" t="s">
        <v>49</v>
      </c>
      <c r="C22" s="75" t="s">
        <v>33</v>
      </c>
      <c r="D22" s="75" t="s">
        <v>31</v>
      </c>
      <c r="E22" s="75" t="s">
        <v>32</v>
      </c>
      <c r="F22" s="81" t="s">
        <v>106</v>
      </c>
      <c r="G22" s="83" t="s">
        <v>107</v>
      </c>
    </row>
    <row r="23" spans="1:7" x14ac:dyDescent="0.2">
      <c r="A23" s="75" t="s">
        <v>50</v>
      </c>
      <c r="B23" s="75" t="s">
        <v>51</v>
      </c>
      <c r="C23" s="75" t="s">
        <v>33</v>
      </c>
      <c r="D23" s="75" t="s">
        <v>31</v>
      </c>
      <c r="E23" s="75" t="s">
        <v>37</v>
      </c>
      <c r="F23" s="81" t="s">
        <v>110</v>
      </c>
      <c r="G23" s="83" t="s">
        <v>112</v>
      </c>
    </row>
    <row r="24" spans="1:7" x14ac:dyDescent="0.2">
      <c r="A24" s="75" t="s">
        <v>52</v>
      </c>
      <c r="B24" s="75" t="s">
        <v>53</v>
      </c>
      <c r="C24" s="75" t="s">
        <v>33</v>
      </c>
      <c r="D24" s="75" t="s">
        <v>31</v>
      </c>
      <c r="E24" s="75" t="s">
        <v>59</v>
      </c>
      <c r="F24" s="81" t="s">
        <v>111</v>
      </c>
      <c r="G24" s="83" t="s">
        <v>106</v>
      </c>
    </row>
    <row r="25" spans="1:7" x14ac:dyDescent="0.2">
      <c r="A25" s="75" t="s">
        <v>54</v>
      </c>
      <c r="B25" s="75" t="s">
        <v>55</v>
      </c>
      <c r="C25" s="75" t="s">
        <v>33</v>
      </c>
      <c r="D25" s="75" t="s">
        <v>31</v>
      </c>
      <c r="E25" s="75" t="s">
        <v>29</v>
      </c>
      <c r="F25" s="81" t="s">
        <v>107</v>
      </c>
      <c r="G25" s="83" t="s">
        <v>110</v>
      </c>
    </row>
    <row r="26" spans="1:7" x14ac:dyDescent="0.2">
      <c r="A26" s="75" t="s">
        <v>56</v>
      </c>
      <c r="B26" s="75" t="s">
        <v>57</v>
      </c>
      <c r="C26" s="75" t="s">
        <v>60</v>
      </c>
      <c r="D26" s="75" t="s">
        <v>28</v>
      </c>
      <c r="E26" s="75" t="s">
        <v>29</v>
      </c>
      <c r="F26" s="81" t="s">
        <v>105</v>
      </c>
      <c r="G26" s="83" t="s">
        <v>108</v>
      </c>
    </row>
    <row r="27" spans="1:7" x14ac:dyDescent="0.2">
      <c r="A27" s="75" t="s">
        <v>61</v>
      </c>
      <c r="B27" s="75" t="s">
        <v>62</v>
      </c>
      <c r="C27" s="75" t="s">
        <v>60</v>
      </c>
      <c r="D27" s="75" t="s">
        <v>28</v>
      </c>
      <c r="E27" s="75" t="s">
        <v>29</v>
      </c>
      <c r="F27" s="81" t="s">
        <v>105</v>
      </c>
      <c r="G27" s="83" t="s">
        <v>108</v>
      </c>
    </row>
    <row r="28" spans="1:7" x14ac:dyDescent="0.2">
      <c r="A28" s="75" t="s">
        <v>63</v>
      </c>
      <c r="B28" s="75" t="s">
        <v>64</v>
      </c>
      <c r="C28" s="75" t="s">
        <v>33</v>
      </c>
      <c r="D28" s="75" t="s">
        <v>31</v>
      </c>
      <c r="E28" s="75" t="s">
        <v>32</v>
      </c>
      <c r="F28" s="81" t="s">
        <v>106</v>
      </c>
      <c r="G28" s="83" t="s">
        <v>107</v>
      </c>
    </row>
    <row r="29" spans="1:7" s="20" customFormat="1" x14ac:dyDescent="0.2">
      <c r="A29" s="75" t="s">
        <v>65</v>
      </c>
      <c r="B29" s="75" t="s">
        <v>66</v>
      </c>
      <c r="C29" s="75" t="s">
        <v>33</v>
      </c>
      <c r="D29" s="75" t="s">
        <v>31</v>
      </c>
      <c r="E29" s="75" t="s">
        <v>37</v>
      </c>
      <c r="F29" s="81" t="s">
        <v>110</v>
      </c>
      <c r="G29" s="83" t="s">
        <v>120</v>
      </c>
    </row>
    <row r="30" spans="1:7" x14ac:dyDescent="0.2">
      <c r="A30" s="75" t="s">
        <v>67</v>
      </c>
      <c r="B30" s="75" t="s">
        <v>68</v>
      </c>
      <c r="C30" s="75" t="s">
        <v>33</v>
      </c>
      <c r="D30" s="75" t="s">
        <v>31</v>
      </c>
      <c r="E30" s="75" t="s">
        <v>59</v>
      </c>
      <c r="F30" s="81" t="s">
        <v>111</v>
      </c>
      <c r="G30" s="83" t="s">
        <v>106</v>
      </c>
    </row>
    <row r="31" spans="1:7" s="20" customFormat="1" x14ac:dyDescent="0.2">
      <c r="A31" s="75" t="s">
        <v>69</v>
      </c>
      <c r="B31" s="75" t="s">
        <v>70</v>
      </c>
      <c r="C31" s="75" t="s">
        <v>34</v>
      </c>
      <c r="D31" s="75" t="s">
        <v>31</v>
      </c>
      <c r="E31" s="75" t="s">
        <v>29</v>
      </c>
      <c r="F31" s="81" t="s">
        <v>107</v>
      </c>
      <c r="G31" s="83" t="s">
        <v>120</v>
      </c>
    </row>
    <row r="32" spans="1:7" x14ac:dyDescent="0.2">
      <c r="A32" s="75" t="s">
        <v>71</v>
      </c>
      <c r="B32" s="75" t="s">
        <v>72</v>
      </c>
      <c r="C32" s="75" t="s">
        <v>33</v>
      </c>
      <c r="D32" s="75" t="s">
        <v>31</v>
      </c>
      <c r="E32" s="75" t="s">
        <v>59</v>
      </c>
      <c r="F32" s="81" t="s">
        <v>111</v>
      </c>
      <c r="G32" s="83" t="s">
        <v>106</v>
      </c>
    </row>
    <row r="33" spans="1:7" x14ac:dyDescent="0.2">
      <c r="A33" s="75" t="s">
        <v>73</v>
      </c>
      <c r="B33" s="75" t="s">
        <v>13</v>
      </c>
      <c r="C33" s="75" t="s">
        <v>33</v>
      </c>
      <c r="D33" s="75" t="s">
        <v>31</v>
      </c>
      <c r="E33" s="75" t="s">
        <v>29</v>
      </c>
      <c r="F33" s="81" t="s">
        <v>107</v>
      </c>
      <c r="G33" s="83" t="s">
        <v>110</v>
      </c>
    </row>
    <row r="34" spans="1:7" s="20" customFormat="1" x14ac:dyDescent="0.2">
      <c r="A34" s="75" t="s">
        <v>74</v>
      </c>
      <c r="B34" s="75" t="s">
        <v>75</v>
      </c>
      <c r="C34" s="75" t="s">
        <v>34</v>
      </c>
      <c r="D34" s="75" t="s">
        <v>31</v>
      </c>
      <c r="E34" s="75" t="s">
        <v>29</v>
      </c>
      <c r="F34" s="81" t="s">
        <v>107</v>
      </c>
      <c r="G34" s="83" t="s">
        <v>120</v>
      </c>
    </row>
    <row r="35" spans="1:7" x14ac:dyDescent="0.2">
      <c r="A35" s="75" t="s">
        <v>76</v>
      </c>
      <c r="B35" s="75" t="s">
        <v>77</v>
      </c>
      <c r="C35" s="75" t="s">
        <v>33</v>
      </c>
      <c r="D35" s="75" t="s">
        <v>31</v>
      </c>
      <c r="E35" s="75" t="s">
        <v>59</v>
      </c>
      <c r="F35" s="81" t="s">
        <v>111</v>
      </c>
      <c r="G35" s="83" t="s">
        <v>106</v>
      </c>
    </row>
    <row r="36" spans="1:7" s="19" customFormat="1" ht="15" x14ac:dyDescent="0.25">
      <c r="A36" s="75" t="s">
        <v>78</v>
      </c>
      <c r="B36" s="75" t="s">
        <v>79</v>
      </c>
      <c r="C36" s="75" t="s">
        <v>60</v>
      </c>
      <c r="D36" s="75" t="s">
        <v>28</v>
      </c>
      <c r="E36" s="75" t="s">
        <v>58</v>
      </c>
      <c r="F36" s="81" t="s">
        <v>109</v>
      </c>
      <c r="G36" s="84" t="s">
        <v>116</v>
      </c>
    </row>
    <row r="37" spans="1:7" x14ac:dyDescent="0.2">
      <c r="A37" s="75" t="s">
        <v>80</v>
      </c>
      <c r="B37" s="75" t="s">
        <v>81</v>
      </c>
      <c r="C37" s="75" t="s">
        <v>33</v>
      </c>
      <c r="D37" s="75" t="s">
        <v>31</v>
      </c>
      <c r="E37" s="75" t="s">
        <v>32</v>
      </c>
      <c r="F37" s="81" t="s">
        <v>106</v>
      </c>
      <c r="G37" s="83" t="s">
        <v>107</v>
      </c>
    </row>
    <row r="38" spans="1:7" s="19" customFormat="1" ht="15" x14ac:dyDescent="0.25">
      <c r="A38" s="75" t="s">
        <v>82</v>
      </c>
      <c r="B38" s="75" t="s">
        <v>38</v>
      </c>
      <c r="C38" s="75" t="s">
        <v>27</v>
      </c>
      <c r="D38" s="75" t="s">
        <v>28</v>
      </c>
      <c r="E38" s="75" t="s">
        <v>58</v>
      </c>
      <c r="F38" s="81" t="s">
        <v>109</v>
      </c>
      <c r="G38" s="84" t="s">
        <v>116</v>
      </c>
    </row>
    <row r="39" spans="1:7" x14ac:dyDescent="0.2">
      <c r="A39" s="75" t="s">
        <v>83</v>
      </c>
      <c r="B39" s="75" t="s">
        <v>84</v>
      </c>
      <c r="C39" s="75" t="s">
        <v>33</v>
      </c>
      <c r="D39" s="75" t="s">
        <v>31</v>
      </c>
      <c r="E39" s="75" t="s">
        <v>32</v>
      </c>
      <c r="F39" s="81" t="s">
        <v>106</v>
      </c>
      <c r="G39" s="83" t="s">
        <v>107</v>
      </c>
    </row>
    <row r="40" spans="1:7" x14ac:dyDescent="0.2">
      <c r="A40" s="75" t="s">
        <v>85</v>
      </c>
      <c r="B40" s="75" t="s">
        <v>86</v>
      </c>
      <c r="C40" s="75" t="s">
        <v>33</v>
      </c>
      <c r="D40" s="75" t="s">
        <v>31</v>
      </c>
      <c r="E40" s="75" t="s">
        <v>59</v>
      </c>
      <c r="F40" s="81" t="s">
        <v>111</v>
      </c>
      <c r="G40" s="83" t="s">
        <v>106</v>
      </c>
    </row>
    <row r="41" spans="1:7" x14ac:dyDescent="0.2">
      <c r="A41" s="75" t="s">
        <v>87</v>
      </c>
      <c r="B41" s="75" t="s">
        <v>88</v>
      </c>
      <c r="C41" s="75" t="s">
        <v>33</v>
      </c>
      <c r="D41" s="75" t="s">
        <v>31</v>
      </c>
      <c r="E41" s="75" t="s">
        <v>59</v>
      </c>
      <c r="F41" s="81" t="s">
        <v>111</v>
      </c>
      <c r="G41" s="83" t="s">
        <v>106</v>
      </c>
    </row>
    <row r="42" spans="1:7" s="19" customFormat="1" ht="15" x14ac:dyDescent="0.25">
      <c r="A42" s="75" t="s">
        <v>89</v>
      </c>
      <c r="B42" s="75" t="s">
        <v>90</v>
      </c>
      <c r="C42" s="75" t="s">
        <v>60</v>
      </c>
      <c r="D42" s="75" t="s">
        <v>28</v>
      </c>
      <c r="E42" s="75" t="s">
        <v>58</v>
      </c>
      <c r="F42" s="81" t="s">
        <v>109</v>
      </c>
      <c r="G42" s="84" t="s">
        <v>116</v>
      </c>
    </row>
    <row r="43" spans="1:7" x14ac:dyDescent="0.2">
      <c r="A43" s="75" t="s">
        <v>91</v>
      </c>
      <c r="B43" s="75" t="s">
        <v>92</v>
      </c>
      <c r="C43" s="75" t="s">
        <v>33</v>
      </c>
      <c r="D43" s="75" t="s">
        <v>31</v>
      </c>
      <c r="E43" s="75" t="s">
        <v>103</v>
      </c>
      <c r="F43" s="81" t="s">
        <v>112</v>
      </c>
      <c r="G43" s="83" t="s">
        <v>118</v>
      </c>
    </row>
    <row r="44" spans="1:7" s="20" customFormat="1" x14ac:dyDescent="0.2">
      <c r="A44" s="75" t="s">
        <v>93</v>
      </c>
      <c r="B44" s="75" t="s">
        <v>94</v>
      </c>
      <c r="C44" s="75" t="s">
        <v>27</v>
      </c>
      <c r="D44" s="75" t="s">
        <v>28</v>
      </c>
      <c r="E44" s="75" t="s">
        <v>37</v>
      </c>
      <c r="F44" s="81" t="s">
        <v>108</v>
      </c>
      <c r="G44" s="83" t="s">
        <v>120</v>
      </c>
    </row>
    <row r="45" spans="1:7" x14ac:dyDescent="0.2">
      <c r="A45" s="75" t="s">
        <v>95</v>
      </c>
      <c r="B45" s="75" t="s">
        <v>96</v>
      </c>
      <c r="C45" s="75" t="s">
        <v>60</v>
      </c>
      <c r="D45" s="75" t="s">
        <v>28</v>
      </c>
      <c r="E45" s="75" t="s">
        <v>29</v>
      </c>
      <c r="F45" s="81" t="s">
        <v>105</v>
      </c>
      <c r="G45" s="83" t="s">
        <v>108</v>
      </c>
    </row>
    <row r="46" spans="1:7" s="19" customFormat="1" ht="15" x14ac:dyDescent="0.25">
      <c r="A46" s="75" t="s">
        <v>97</v>
      </c>
      <c r="B46" s="75" t="s">
        <v>98</v>
      </c>
      <c r="C46" s="75" t="s">
        <v>33</v>
      </c>
      <c r="D46" s="75" t="s">
        <v>31</v>
      </c>
      <c r="E46" s="75" t="s">
        <v>104</v>
      </c>
      <c r="F46" s="81" t="s">
        <v>113</v>
      </c>
      <c r="G46" s="84" t="s">
        <v>116</v>
      </c>
    </row>
    <row r="47" spans="1:7" x14ac:dyDescent="0.2">
      <c r="A47" s="75" t="s">
        <v>99</v>
      </c>
      <c r="B47" s="75" t="s">
        <v>100</v>
      </c>
      <c r="C47" s="75" t="s">
        <v>27</v>
      </c>
      <c r="D47" s="75" t="s">
        <v>28</v>
      </c>
      <c r="E47" s="75" t="s">
        <v>29</v>
      </c>
      <c r="F47" s="81" t="s">
        <v>105</v>
      </c>
      <c r="G47" s="83" t="s">
        <v>108</v>
      </c>
    </row>
    <row r="48" spans="1:7" s="20" customFormat="1" x14ac:dyDescent="0.2">
      <c r="A48" s="75" t="s">
        <v>101</v>
      </c>
      <c r="B48" s="75" t="s">
        <v>102</v>
      </c>
      <c r="C48" s="75" t="s">
        <v>33</v>
      </c>
      <c r="D48" s="75" t="s">
        <v>31</v>
      </c>
      <c r="E48" s="75" t="s">
        <v>37</v>
      </c>
      <c r="F48" s="81" t="s">
        <v>110</v>
      </c>
      <c r="G48" s="83" t="s">
        <v>120</v>
      </c>
    </row>
    <row r="49" spans="1:3" x14ac:dyDescent="0.2">
      <c r="A49" s="99" t="s">
        <v>200</v>
      </c>
    </row>
    <row r="51" spans="1:3" x14ac:dyDescent="0.2">
      <c r="A51" s="21" t="s">
        <v>115</v>
      </c>
    </row>
    <row r="52" spans="1:3" ht="15" customHeight="1" x14ac:dyDescent="0.2">
      <c r="A52" s="102" t="s">
        <v>196</v>
      </c>
      <c r="B52" s="76"/>
      <c r="C52" s="76"/>
    </row>
    <row r="53" spans="1:3" x14ac:dyDescent="0.2">
      <c r="A53" s="98"/>
    </row>
  </sheetData>
  <autoFilter ref="A4:G48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7"/>
    </sheetView>
  </sheetViews>
  <sheetFormatPr defaultRowHeight="15" x14ac:dyDescent="0.25"/>
  <cols>
    <col min="1" max="1" width="11.5703125" customWidth="1"/>
    <col min="3" max="3" width="11" customWidth="1"/>
    <col min="6" max="6" width="14.140625" customWidth="1"/>
  </cols>
  <sheetData>
    <row r="1" spans="1:7" x14ac:dyDescent="0.25">
      <c r="A1" t="s">
        <v>0</v>
      </c>
      <c r="B1" t="s">
        <v>1</v>
      </c>
      <c r="C1" t="s">
        <v>24</v>
      </c>
      <c r="D1" t="s">
        <v>25</v>
      </c>
      <c r="E1" t="s">
        <v>26</v>
      </c>
      <c r="F1" t="s">
        <v>114</v>
      </c>
      <c r="G1" t="s">
        <v>195</v>
      </c>
    </row>
    <row r="2" spans="1:7" x14ac:dyDescent="0.25">
      <c r="A2" t="s">
        <v>99</v>
      </c>
      <c r="B2" t="s">
        <v>100</v>
      </c>
      <c r="C2" t="s">
        <v>27</v>
      </c>
      <c r="D2" t="s">
        <v>28</v>
      </c>
      <c r="E2" t="s">
        <v>29</v>
      </c>
      <c r="F2" t="s">
        <v>105</v>
      </c>
      <c r="G2" t="s">
        <v>108</v>
      </c>
    </row>
    <row r="3" spans="1:7" x14ac:dyDescent="0.25">
      <c r="A3" t="s">
        <v>95</v>
      </c>
      <c r="B3" t="s">
        <v>96</v>
      </c>
      <c r="C3" t="s">
        <v>60</v>
      </c>
      <c r="D3" t="s">
        <v>28</v>
      </c>
      <c r="E3" t="s">
        <v>29</v>
      </c>
      <c r="F3" t="s">
        <v>105</v>
      </c>
      <c r="G3" t="s">
        <v>108</v>
      </c>
    </row>
    <row r="4" spans="1:7" x14ac:dyDescent="0.25">
      <c r="A4" t="s">
        <v>61</v>
      </c>
      <c r="B4" t="s">
        <v>62</v>
      </c>
      <c r="C4" t="s">
        <v>60</v>
      </c>
      <c r="D4" t="s">
        <v>28</v>
      </c>
      <c r="E4" t="s">
        <v>29</v>
      </c>
      <c r="F4" t="s">
        <v>105</v>
      </c>
      <c r="G4" t="s">
        <v>108</v>
      </c>
    </row>
    <row r="5" spans="1:7" x14ac:dyDescent="0.25">
      <c r="A5" t="s">
        <v>56</v>
      </c>
      <c r="B5" t="s">
        <v>57</v>
      </c>
      <c r="C5" t="s">
        <v>60</v>
      </c>
      <c r="D5" t="s">
        <v>28</v>
      </c>
      <c r="E5" t="s">
        <v>29</v>
      </c>
      <c r="F5" t="s">
        <v>105</v>
      </c>
      <c r="G5" t="s">
        <v>108</v>
      </c>
    </row>
    <row r="6" spans="1:7" x14ac:dyDescent="0.25">
      <c r="A6" t="s">
        <v>47</v>
      </c>
      <c r="B6" t="s">
        <v>21</v>
      </c>
      <c r="C6" t="s">
        <v>27</v>
      </c>
      <c r="D6" t="s">
        <v>28</v>
      </c>
      <c r="E6" t="s">
        <v>29</v>
      </c>
      <c r="F6" t="s">
        <v>105</v>
      </c>
      <c r="G6" t="s">
        <v>108</v>
      </c>
    </row>
    <row r="7" spans="1:7" x14ac:dyDescent="0.25">
      <c r="A7" t="s">
        <v>12</v>
      </c>
      <c r="B7" t="s">
        <v>13</v>
      </c>
      <c r="C7" t="s">
        <v>60</v>
      </c>
      <c r="D7" t="s">
        <v>28</v>
      </c>
      <c r="E7" t="s">
        <v>29</v>
      </c>
      <c r="F7" t="s">
        <v>105</v>
      </c>
      <c r="G7" t="s">
        <v>108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5"/>
    </sheetView>
  </sheetViews>
  <sheetFormatPr defaultRowHeight="15" x14ac:dyDescent="0.25"/>
  <cols>
    <col min="1" max="1" width="11.5703125" customWidth="1"/>
    <col min="3" max="3" width="11" customWidth="1"/>
    <col min="6" max="6" width="14.140625" customWidth="1"/>
  </cols>
  <sheetData>
    <row r="1" spans="1:7" x14ac:dyDescent="0.25">
      <c r="A1" t="s">
        <v>0</v>
      </c>
      <c r="B1" t="s">
        <v>1</v>
      </c>
      <c r="C1" t="s">
        <v>24</v>
      </c>
      <c r="D1" t="s">
        <v>25</v>
      </c>
      <c r="E1" t="s">
        <v>26</v>
      </c>
      <c r="F1" t="s">
        <v>114</v>
      </c>
      <c r="G1" t="s">
        <v>195</v>
      </c>
    </row>
    <row r="2" spans="1:7" x14ac:dyDescent="0.25">
      <c r="A2" t="s">
        <v>101</v>
      </c>
      <c r="B2" t="s">
        <v>102</v>
      </c>
      <c r="C2" t="s">
        <v>33</v>
      </c>
      <c r="D2" t="s">
        <v>31</v>
      </c>
      <c r="E2" t="s">
        <v>37</v>
      </c>
      <c r="F2" t="s">
        <v>110</v>
      </c>
      <c r="G2" t="s">
        <v>120</v>
      </c>
    </row>
    <row r="3" spans="1:7" x14ac:dyDescent="0.25">
      <c r="A3" t="s">
        <v>65</v>
      </c>
      <c r="B3" t="s">
        <v>66</v>
      </c>
      <c r="C3" t="s">
        <v>33</v>
      </c>
      <c r="D3" t="s">
        <v>31</v>
      </c>
      <c r="E3" t="s">
        <v>37</v>
      </c>
      <c r="F3" t="s">
        <v>110</v>
      </c>
      <c r="G3" t="s">
        <v>120</v>
      </c>
    </row>
    <row r="4" spans="1:7" x14ac:dyDescent="0.25">
      <c r="A4" t="s">
        <v>50</v>
      </c>
      <c r="B4" t="s">
        <v>51</v>
      </c>
      <c r="C4" t="s">
        <v>33</v>
      </c>
      <c r="D4" t="s">
        <v>31</v>
      </c>
      <c r="E4" t="s">
        <v>37</v>
      </c>
      <c r="F4" t="s">
        <v>110</v>
      </c>
      <c r="G4" t="s">
        <v>112</v>
      </c>
    </row>
    <row r="5" spans="1:7" x14ac:dyDescent="0.25">
      <c r="A5" t="s">
        <v>16</v>
      </c>
      <c r="B5" t="s">
        <v>17</v>
      </c>
      <c r="C5" t="s">
        <v>33</v>
      </c>
      <c r="D5" t="s">
        <v>31</v>
      </c>
      <c r="E5" t="s">
        <v>37</v>
      </c>
      <c r="F5" t="s">
        <v>110</v>
      </c>
      <c r="G5" t="s">
        <v>120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5"/>
    </sheetView>
  </sheetViews>
  <sheetFormatPr defaultRowHeight="15" x14ac:dyDescent="0.25"/>
  <cols>
    <col min="1" max="1" width="11.5703125" customWidth="1"/>
    <col min="3" max="3" width="11" customWidth="1"/>
    <col min="6" max="6" width="14.140625" customWidth="1"/>
  </cols>
  <sheetData>
    <row r="1" spans="1:7" x14ac:dyDescent="0.25">
      <c r="A1" t="s">
        <v>0</v>
      </c>
      <c r="B1" t="s">
        <v>1</v>
      </c>
      <c r="C1" t="s">
        <v>24</v>
      </c>
      <c r="D1" t="s">
        <v>25</v>
      </c>
      <c r="E1" t="s">
        <v>26</v>
      </c>
      <c r="F1" t="s">
        <v>114</v>
      </c>
      <c r="G1" t="s">
        <v>195</v>
      </c>
    </row>
    <row r="2" spans="1:7" x14ac:dyDescent="0.25">
      <c r="A2" t="s">
        <v>101</v>
      </c>
      <c r="B2" t="s">
        <v>102</v>
      </c>
      <c r="C2" t="s">
        <v>33</v>
      </c>
      <c r="D2" t="s">
        <v>31</v>
      </c>
      <c r="E2" t="s">
        <v>37</v>
      </c>
      <c r="F2" t="s">
        <v>110</v>
      </c>
      <c r="G2" t="s">
        <v>120</v>
      </c>
    </row>
    <row r="3" spans="1:7" x14ac:dyDescent="0.25">
      <c r="A3" t="s">
        <v>65</v>
      </c>
      <c r="B3" t="s">
        <v>66</v>
      </c>
      <c r="C3" t="s">
        <v>33</v>
      </c>
      <c r="D3" t="s">
        <v>31</v>
      </c>
      <c r="E3" t="s">
        <v>37</v>
      </c>
      <c r="F3" t="s">
        <v>110</v>
      </c>
      <c r="G3" t="s">
        <v>120</v>
      </c>
    </row>
    <row r="4" spans="1:7" x14ac:dyDescent="0.25">
      <c r="A4" t="s">
        <v>50</v>
      </c>
      <c r="B4" t="s">
        <v>51</v>
      </c>
      <c r="C4" t="s">
        <v>33</v>
      </c>
      <c r="D4" t="s">
        <v>31</v>
      </c>
      <c r="E4" t="s">
        <v>37</v>
      </c>
      <c r="F4" t="s">
        <v>110</v>
      </c>
      <c r="G4" t="s">
        <v>112</v>
      </c>
    </row>
    <row r="5" spans="1:7" x14ac:dyDescent="0.25">
      <c r="A5" t="s">
        <v>16</v>
      </c>
      <c r="B5" t="s">
        <v>17</v>
      </c>
      <c r="C5" t="s">
        <v>33</v>
      </c>
      <c r="D5" t="s">
        <v>31</v>
      </c>
      <c r="E5" t="s">
        <v>37</v>
      </c>
      <c r="F5" t="s">
        <v>110</v>
      </c>
      <c r="G5" t="s">
        <v>120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workbookViewId="0">
      <selection activeCell="C24" sqref="C24"/>
    </sheetView>
  </sheetViews>
  <sheetFormatPr defaultColWidth="9.140625" defaultRowHeight="11.25" x14ac:dyDescent="0.2"/>
  <cols>
    <col min="1" max="1" width="26.85546875" style="22" customWidth="1"/>
    <col min="2" max="2" width="9.140625" style="22" customWidth="1"/>
    <col min="3" max="3" width="9.140625" style="22"/>
    <col min="4" max="16384" width="9.140625" style="17"/>
  </cols>
  <sheetData>
    <row r="2" spans="1:3" s="95" customFormat="1" ht="15.75" customHeight="1" x14ac:dyDescent="0.25">
      <c r="A2" s="92" t="s">
        <v>197</v>
      </c>
      <c r="B2" s="93" t="s">
        <v>191</v>
      </c>
    </row>
    <row r="3" spans="1:3" x14ac:dyDescent="0.2">
      <c r="A3" s="77" t="s">
        <v>105</v>
      </c>
      <c r="B3" s="24">
        <v>6</v>
      </c>
      <c r="C3" s="94" t="s">
        <v>194</v>
      </c>
    </row>
    <row r="4" spans="1:3" x14ac:dyDescent="0.2">
      <c r="A4" s="78" t="s">
        <v>108</v>
      </c>
      <c r="B4" s="25">
        <v>3</v>
      </c>
      <c r="C4" s="94" t="s">
        <v>194</v>
      </c>
    </row>
    <row r="5" spans="1:3" x14ac:dyDescent="0.2">
      <c r="A5" s="78" t="s">
        <v>109</v>
      </c>
      <c r="B5" s="25">
        <v>5</v>
      </c>
      <c r="C5" s="94" t="s">
        <v>194</v>
      </c>
    </row>
    <row r="6" spans="1:3" x14ac:dyDescent="0.2">
      <c r="A6" s="78" t="s">
        <v>111</v>
      </c>
      <c r="B6" s="25">
        <v>6</v>
      </c>
      <c r="C6" s="94" t="s">
        <v>194</v>
      </c>
    </row>
    <row r="7" spans="1:3" x14ac:dyDescent="0.2">
      <c r="A7" s="78" t="s">
        <v>106</v>
      </c>
      <c r="B7" s="25">
        <v>9</v>
      </c>
      <c r="C7" s="94" t="s">
        <v>194</v>
      </c>
    </row>
    <row r="8" spans="1:3" x14ac:dyDescent="0.2">
      <c r="A8" s="78" t="s">
        <v>107</v>
      </c>
      <c r="B8" s="25">
        <v>9</v>
      </c>
      <c r="C8" s="94" t="s">
        <v>194</v>
      </c>
    </row>
    <row r="9" spans="1:3" x14ac:dyDescent="0.2">
      <c r="A9" s="78" t="s">
        <v>110</v>
      </c>
      <c r="B9" s="25">
        <v>4</v>
      </c>
      <c r="C9" s="94" t="s">
        <v>194</v>
      </c>
    </row>
    <row r="10" spans="1:3" x14ac:dyDescent="0.2">
      <c r="A10" s="78" t="s">
        <v>112</v>
      </c>
      <c r="B10" s="25">
        <v>1</v>
      </c>
      <c r="C10" s="94" t="s">
        <v>194</v>
      </c>
    </row>
    <row r="11" spans="1:3" x14ac:dyDescent="0.2">
      <c r="A11" s="79" t="s">
        <v>113</v>
      </c>
      <c r="B11" s="25">
        <v>1</v>
      </c>
      <c r="C11" s="94" t="s">
        <v>194</v>
      </c>
    </row>
    <row r="12" spans="1:3" x14ac:dyDescent="0.2">
      <c r="A12" s="23" t="s">
        <v>117</v>
      </c>
      <c r="B12" s="80">
        <v>44</v>
      </c>
    </row>
    <row r="13" spans="1:3" ht="15" x14ac:dyDescent="0.25">
      <c r="A13"/>
      <c r="B13"/>
    </row>
    <row r="14" spans="1:3" ht="15" x14ac:dyDescent="0.25">
      <c r="A14"/>
      <c r="B14"/>
    </row>
    <row r="15" spans="1:3" ht="15" x14ac:dyDescent="0.25">
      <c r="A15"/>
      <c r="B15"/>
    </row>
    <row r="16" spans="1:3" ht="15" x14ac:dyDescent="0.25">
      <c r="A16"/>
      <c r="B16"/>
    </row>
    <row r="17" spans="1:3" ht="15" x14ac:dyDescent="0.25">
      <c r="A17"/>
      <c r="B17"/>
    </row>
    <row r="18" spans="1:3" ht="15" x14ac:dyDescent="0.25">
      <c r="A18"/>
      <c r="B18"/>
    </row>
    <row r="19" spans="1:3" ht="15" x14ac:dyDescent="0.25">
      <c r="A19"/>
      <c r="B19"/>
    </row>
    <row r="20" spans="1:3" ht="15" x14ac:dyDescent="0.25">
      <c r="A20"/>
      <c r="B20"/>
    </row>
    <row r="21" spans="1:3" ht="15" x14ac:dyDescent="0.25">
      <c r="A21"/>
      <c r="B21"/>
    </row>
    <row r="22" spans="1:3" ht="15" x14ac:dyDescent="0.25">
      <c r="A22"/>
      <c r="B22"/>
    </row>
    <row r="23" spans="1:3" ht="15" x14ac:dyDescent="0.25">
      <c r="A23"/>
      <c r="B23"/>
    </row>
    <row r="24" spans="1:3" ht="15" x14ac:dyDescent="0.25">
      <c r="A24"/>
      <c r="B24"/>
    </row>
    <row r="27" spans="1:3" x14ac:dyDescent="0.2">
      <c r="A27" s="26"/>
      <c r="B27" s="26"/>
      <c r="C27" s="26"/>
    </row>
    <row r="29" spans="1:3" x14ac:dyDescent="0.2">
      <c r="A29" s="26"/>
      <c r="B29" s="26"/>
      <c r="C29" s="26"/>
    </row>
    <row r="32" spans="1:3" x14ac:dyDescent="0.2">
      <c r="A32" s="26"/>
      <c r="B32" s="26"/>
      <c r="C32" s="26"/>
    </row>
    <row r="34" spans="1:3" x14ac:dyDescent="0.2">
      <c r="A34" s="27"/>
      <c r="B34" s="27"/>
      <c r="C34" s="27"/>
    </row>
    <row r="36" spans="1:3" x14ac:dyDescent="0.2">
      <c r="A36" s="27"/>
      <c r="B36" s="27"/>
      <c r="C36" s="27"/>
    </row>
    <row r="40" spans="1:3" x14ac:dyDescent="0.2">
      <c r="A40" s="27"/>
      <c r="B40" s="27"/>
      <c r="C40" s="27"/>
    </row>
    <row r="42" spans="1:3" x14ac:dyDescent="0.2">
      <c r="A42" s="26"/>
      <c r="B42" s="26"/>
      <c r="C42" s="26"/>
    </row>
    <row r="44" spans="1:3" x14ac:dyDescent="0.2">
      <c r="A44" s="27"/>
      <c r="B44" s="27"/>
      <c r="C44" s="27"/>
    </row>
    <row r="46" spans="1:3" x14ac:dyDescent="0.2">
      <c r="A46" s="26"/>
      <c r="B46" s="26"/>
      <c r="C46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I21" sqref="I21"/>
    </sheetView>
  </sheetViews>
  <sheetFormatPr defaultColWidth="9.140625" defaultRowHeight="12.75" x14ac:dyDescent="0.2"/>
  <cols>
    <col min="1" max="1" width="17.42578125" style="2" customWidth="1"/>
    <col min="2" max="2" width="8.42578125" style="2" customWidth="1"/>
    <col min="3" max="3" width="4.85546875" style="67" customWidth="1"/>
    <col min="4" max="4" width="9.5703125" style="2" customWidth="1"/>
    <col min="5" max="5" width="3.5703125" style="90" customWidth="1"/>
    <col min="6" max="6" width="11.7109375" style="73" bestFit="1" customWidth="1"/>
    <col min="7" max="7" width="8.28515625" style="2" customWidth="1"/>
    <col min="8" max="8" width="4.5703125" style="2" customWidth="1"/>
    <col min="9" max="9" width="13" style="57" customWidth="1"/>
    <col min="10" max="10" width="9.140625" style="2"/>
    <col min="11" max="11" width="30.5703125" style="2" customWidth="1"/>
    <col min="12" max="16384" width="9.140625" style="2"/>
  </cols>
  <sheetData>
    <row r="1" spans="1:11" ht="13.5" thickBot="1" x14ac:dyDescent="0.25">
      <c r="B1" s="54"/>
      <c r="C1" s="74"/>
      <c r="D1" s="54" t="s">
        <v>122</v>
      </c>
      <c r="E1" s="85"/>
      <c r="F1" s="55"/>
      <c r="G1" s="56"/>
    </row>
    <row r="2" spans="1:11" ht="13.5" thickBot="1" x14ac:dyDescent="0.25">
      <c r="A2" s="56"/>
      <c r="B2" s="56"/>
      <c r="C2" s="74"/>
      <c r="D2" s="104">
        <v>0.4</v>
      </c>
      <c r="E2" s="86"/>
      <c r="F2" s="59"/>
      <c r="G2" s="56"/>
    </row>
    <row r="3" spans="1:11" s="66" customFormat="1" ht="22.5" customHeight="1" thickBot="1" x14ac:dyDescent="0.3">
      <c r="A3" s="100" t="s">
        <v>201</v>
      </c>
      <c r="B3" s="60" t="s">
        <v>203</v>
      </c>
      <c r="C3" s="61"/>
      <c r="D3" s="91" t="s">
        <v>193</v>
      </c>
      <c r="E3" s="87"/>
      <c r="F3" s="63" t="s">
        <v>198</v>
      </c>
      <c r="G3" s="62" t="s">
        <v>121</v>
      </c>
      <c r="H3" s="64"/>
      <c r="I3" s="65" t="s">
        <v>190</v>
      </c>
    </row>
    <row r="4" spans="1:11" ht="13.5" thickBot="1" x14ac:dyDescent="0.25">
      <c r="A4" s="108" t="s">
        <v>183</v>
      </c>
      <c r="B4" s="54">
        <f>COUNTIF('Personale exsspal'!G5:G48,"II-F4")</f>
        <v>6</v>
      </c>
      <c r="C4" s="67">
        <v>1823.3200918140064</v>
      </c>
      <c r="D4" s="105">
        <f t="shared" ref="D4:D10" si="0">B4*$D$2</f>
        <v>2.4000000000000004</v>
      </c>
      <c r="E4" s="88"/>
      <c r="F4" s="68">
        <v>2</v>
      </c>
      <c r="G4" s="106">
        <f t="shared" ref="G4:G10" si="1">F4/B4</f>
        <v>0.33333333333333331</v>
      </c>
      <c r="I4" s="107">
        <f>C4*F4</f>
        <v>3646.6401836280129</v>
      </c>
      <c r="K4" s="114"/>
    </row>
    <row r="5" spans="1:11" ht="13.5" thickBot="1" x14ac:dyDescent="0.25">
      <c r="A5" s="108" t="s">
        <v>185</v>
      </c>
      <c r="B5" s="54">
        <f>COUNTIF('Personale exsspal'!G5:G48,"II-F5")</f>
        <v>1</v>
      </c>
      <c r="C5" s="67">
        <v>1154.2492051739973</v>
      </c>
      <c r="D5" s="105">
        <f t="shared" si="0"/>
        <v>0.4</v>
      </c>
      <c r="E5" s="88"/>
      <c r="F5" s="68">
        <v>0</v>
      </c>
      <c r="G5" s="106">
        <f t="shared" si="1"/>
        <v>0</v>
      </c>
      <c r="I5" s="107">
        <f>C5*F5</f>
        <v>0</v>
      </c>
      <c r="K5" s="114"/>
    </row>
    <row r="6" spans="1:11" ht="13.5" thickBot="1" x14ac:dyDescent="0.25">
      <c r="A6" s="108" t="s">
        <v>187</v>
      </c>
      <c r="B6" s="54">
        <f>COUNTIF('Personale exsspal'!G5:G48,"III-F2")</f>
        <v>6</v>
      </c>
      <c r="C6" s="67">
        <v>1154.4395836740077</v>
      </c>
      <c r="D6" s="105">
        <f t="shared" si="0"/>
        <v>2.4000000000000004</v>
      </c>
      <c r="E6" s="88"/>
      <c r="F6" s="68">
        <v>2</v>
      </c>
      <c r="G6" s="106">
        <f t="shared" si="1"/>
        <v>0.33333333333333331</v>
      </c>
      <c r="I6" s="107">
        <f t="shared" ref="I6:I10" si="2">C6*F6</f>
        <v>2308.8791673480155</v>
      </c>
      <c r="K6" s="114"/>
    </row>
    <row r="7" spans="1:11" ht="13.5" thickBot="1" x14ac:dyDescent="0.25">
      <c r="A7" s="108" t="s">
        <v>189</v>
      </c>
      <c r="B7" s="54">
        <f>COUNTIF('Personale exsspal'!G5:G48,"III-F3")</f>
        <v>9</v>
      </c>
      <c r="C7" s="67">
        <v>2131.9150248419901</v>
      </c>
      <c r="D7" s="105">
        <f t="shared" si="0"/>
        <v>3.6</v>
      </c>
      <c r="E7" s="88"/>
      <c r="F7" s="68">
        <v>4</v>
      </c>
      <c r="G7" s="106">
        <f t="shared" si="1"/>
        <v>0.44444444444444442</v>
      </c>
      <c r="I7" s="107">
        <f t="shared" si="2"/>
        <v>8527.6600993679604</v>
      </c>
      <c r="K7" s="114"/>
    </row>
    <row r="8" spans="1:11" ht="13.5" thickBot="1" x14ac:dyDescent="0.25">
      <c r="A8" s="108" t="s">
        <v>184</v>
      </c>
      <c r="B8" s="54">
        <f>COUNTIF('Personale exsspal'!G5:G48,"III-F4")</f>
        <v>4</v>
      </c>
      <c r="C8" s="67">
        <v>3714.446435580001</v>
      </c>
      <c r="D8" s="105">
        <f t="shared" si="0"/>
        <v>1.6</v>
      </c>
      <c r="E8" s="88"/>
      <c r="F8" s="68">
        <v>2</v>
      </c>
      <c r="G8" s="106">
        <f t="shared" si="1"/>
        <v>0.5</v>
      </c>
      <c r="I8" s="107">
        <f t="shared" si="2"/>
        <v>7428.892871160002</v>
      </c>
      <c r="K8" s="114"/>
    </row>
    <row r="9" spans="1:11" ht="13.5" thickBot="1" x14ac:dyDescent="0.25">
      <c r="A9" s="108" t="s">
        <v>186</v>
      </c>
      <c r="B9" s="54">
        <f>COUNTIF('Personale exsspal'!G5:G48,"III-F5")</f>
        <v>1</v>
      </c>
      <c r="C9" s="67">
        <v>2552.4499999999998</v>
      </c>
      <c r="D9" s="105">
        <f t="shared" si="0"/>
        <v>0.4</v>
      </c>
      <c r="E9" s="88"/>
      <c r="F9" s="68">
        <v>0</v>
      </c>
      <c r="G9" s="106">
        <f t="shared" si="1"/>
        <v>0</v>
      </c>
      <c r="I9" s="107">
        <f t="shared" si="2"/>
        <v>0</v>
      </c>
      <c r="K9" s="114"/>
    </row>
    <row r="10" spans="1:11" ht="13.5" thickBot="1" x14ac:dyDescent="0.25">
      <c r="A10" s="109" t="s">
        <v>188</v>
      </c>
      <c r="B10" s="69">
        <f>COUNTIF('Personale exsspal'!G5:G48,"III-F6")</f>
        <v>1</v>
      </c>
      <c r="C10" s="67">
        <v>2830.4376456720129</v>
      </c>
      <c r="D10" s="105">
        <f t="shared" si="0"/>
        <v>0.4</v>
      </c>
      <c r="E10" s="88"/>
      <c r="F10" s="68">
        <v>0</v>
      </c>
      <c r="G10" s="106">
        <f t="shared" si="1"/>
        <v>0</v>
      </c>
      <c r="I10" s="107">
        <f t="shared" si="2"/>
        <v>0</v>
      </c>
      <c r="K10" s="114"/>
    </row>
    <row r="11" spans="1:11" ht="20.25" customHeight="1" x14ac:dyDescent="0.2">
      <c r="A11" s="70" t="s">
        <v>202</v>
      </c>
      <c r="B11" s="54">
        <f>SUM(B4:B10)</f>
        <v>28</v>
      </c>
      <c r="C11" s="71"/>
      <c r="D11" s="54">
        <f>SUM(D4:D10)</f>
        <v>11.200000000000001</v>
      </c>
      <c r="E11" s="89"/>
      <c r="F11" s="101">
        <f>SUM(F4:F10)</f>
        <v>10</v>
      </c>
      <c r="I11" s="72">
        <f>SUM(I4:I10)</f>
        <v>21912.072321503991</v>
      </c>
      <c r="K11" s="114"/>
    </row>
    <row r="12" spans="1:11" x14ac:dyDescent="0.2">
      <c r="A12" s="56"/>
      <c r="B12" s="56"/>
      <c r="C12" s="58"/>
      <c r="D12" s="56"/>
      <c r="E12" s="86"/>
      <c r="F12" s="59"/>
      <c r="G12" s="56"/>
    </row>
    <row r="13" spans="1:11" x14ac:dyDescent="0.2">
      <c r="A13" s="110" t="s">
        <v>205</v>
      </c>
      <c r="B13" s="56"/>
      <c r="C13" s="58"/>
      <c r="D13" s="56"/>
      <c r="E13" s="86"/>
      <c r="F13" s="59"/>
      <c r="G13" s="56"/>
    </row>
  </sheetData>
  <sheetProtection select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B1" zoomScale="89" zoomScaleNormal="89" workbookViewId="0">
      <selection activeCell="O8" sqref="O8"/>
    </sheetView>
  </sheetViews>
  <sheetFormatPr defaultColWidth="9.140625" defaultRowHeight="12.75" x14ac:dyDescent="0.2"/>
  <cols>
    <col min="1" max="1" width="0" style="28" hidden="1" customWidth="1"/>
    <col min="2" max="2" width="13.7109375" style="28" customWidth="1"/>
    <col min="3" max="3" width="12.5703125" style="28" customWidth="1"/>
    <col min="4" max="4" width="11.42578125" style="28" customWidth="1"/>
    <col min="5" max="5" width="13.140625" style="28" customWidth="1"/>
    <col min="6" max="7" width="10.85546875" style="28" customWidth="1"/>
    <col min="8" max="8" width="12.5703125" style="28" customWidth="1"/>
    <col min="9" max="9" width="12" style="28" customWidth="1"/>
    <col min="10" max="10" width="12.28515625" style="28" customWidth="1"/>
    <col min="11" max="11" width="12" style="28" customWidth="1"/>
    <col min="12" max="12" width="12.7109375" style="28" bestFit="1" customWidth="1"/>
    <col min="13" max="13" width="14.7109375" style="28" customWidth="1"/>
    <col min="14" max="14" width="14.42578125" style="28" customWidth="1"/>
    <col min="15" max="15" width="16.42578125" style="28" customWidth="1"/>
    <col min="16" max="16" width="19.5703125" style="28" customWidth="1"/>
    <col min="17" max="16384" width="9.140625" style="28"/>
  </cols>
  <sheetData>
    <row r="1" spans="1:16" ht="28.5" customHeight="1" x14ac:dyDescent="0.2"/>
    <row r="2" spans="1:16" ht="63.75" x14ac:dyDescent="0.2">
      <c r="A2" s="29" t="s">
        <v>124</v>
      </c>
      <c r="B2" s="29" t="s">
        <v>125</v>
      </c>
      <c r="C2" s="29" t="s">
        <v>126</v>
      </c>
      <c r="D2" s="30" t="s">
        <v>127</v>
      </c>
      <c r="E2" s="5" t="s">
        <v>128</v>
      </c>
      <c r="F2" s="5" t="s">
        <v>129</v>
      </c>
      <c r="G2" s="5" t="s">
        <v>130</v>
      </c>
      <c r="H2" s="5" t="s">
        <v>131</v>
      </c>
      <c r="I2" s="30" t="s">
        <v>132</v>
      </c>
      <c r="J2" s="5" t="s">
        <v>133</v>
      </c>
      <c r="K2" s="30" t="s">
        <v>134</v>
      </c>
      <c r="L2" s="30" t="s">
        <v>135</v>
      </c>
      <c r="M2" s="30" t="s">
        <v>136</v>
      </c>
      <c r="N2" s="30" t="s">
        <v>137</v>
      </c>
      <c r="O2" s="30" t="s">
        <v>138</v>
      </c>
      <c r="P2" s="30" t="s">
        <v>139</v>
      </c>
    </row>
    <row r="3" spans="1:16" x14ac:dyDescent="0.2">
      <c r="A3" s="31" t="s">
        <v>140</v>
      </c>
      <c r="B3" s="142" t="s">
        <v>141</v>
      </c>
      <c r="C3" s="32" t="s">
        <v>104</v>
      </c>
      <c r="D3" s="48"/>
      <c r="E3" s="34">
        <v>32246.48</v>
      </c>
      <c r="F3" s="34">
        <f>(2687.21*0.7/100)*13</f>
        <v>244.53610999999998</v>
      </c>
      <c r="G3" s="34">
        <f t="shared" ref="G3:G18" si="0">D23</f>
        <v>2687.2066666666665</v>
      </c>
      <c r="H3" s="34">
        <v>3511.8</v>
      </c>
      <c r="I3" s="35">
        <f t="shared" ref="I3:I18" si="1">SUM(E3:H3)</f>
        <v>38690.022776666672</v>
      </c>
      <c r="J3" s="34">
        <f>I3*35.18/100</f>
        <v>13611.150012831335</v>
      </c>
      <c r="K3" s="35">
        <f>I3+J3</f>
        <v>52301.172789498007</v>
      </c>
      <c r="L3" s="36" t="s">
        <v>142</v>
      </c>
      <c r="M3" s="36">
        <v>2768.7223251480027</v>
      </c>
      <c r="N3" s="33"/>
      <c r="O3" s="33"/>
      <c r="P3" s="33"/>
    </row>
    <row r="4" spans="1:16" x14ac:dyDescent="0.2">
      <c r="A4" s="31" t="s">
        <v>140</v>
      </c>
      <c r="B4" s="142"/>
      <c r="C4" s="32" t="s">
        <v>58</v>
      </c>
      <c r="D4" s="48"/>
      <c r="E4" s="34">
        <v>30369</v>
      </c>
      <c r="F4" s="34">
        <f>(2530.75*0.7/100)*13</f>
        <v>230.29824999999997</v>
      </c>
      <c r="G4" s="34">
        <f t="shared" si="0"/>
        <v>2530.75</v>
      </c>
      <c r="H4" s="34">
        <v>3511.8</v>
      </c>
      <c r="I4" s="35">
        <f t="shared" si="1"/>
        <v>36641.848250000003</v>
      </c>
      <c r="J4" s="34">
        <f t="shared" ref="J4:J18" si="2">I4*35.18/100</f>
        <v>12890.602214350001</v>
      </c>
      <c r="K4" s="35">
        <f t="shared" ref="K4:K18" si="3">I4+J4</f>
        <v>49532.450464350004</v>
      </c>
      <c r="L4" s="36" t="s">
        <v>143</v>
      </c>
      <c r="M4" s="36">
        <v>2830.4376456720129</v>
      </c>
      <c r="N4" s="37">
        <f>1*P22</f>
        <v>0</v>
      </c>
      <c r="O4" s="38"/>
      <c r="P4" s="39">
        <f t="shared" ref="P4:P12" si="4">(M4*O4)</f>
        <v>0</v>
      </c>
    </row>
    <row r="5" spans="1:16" x14ac:dyDescent="0.2">
      <c r="A5" s="31" t="s">
        <v>144</v>
      </c>
      <c r="B5" s="142"/>
      <c r="C5" s="32" t="s">
        <v>103</v>
      </c>
      <c r="D5" s="49">
        <v>1</v>
      </c>
      <c r="E5" s="34">
        <v>28449.67</v>
      </c>
      <c r="F5" s="34">
        <f>(2370.81*0.7/100)*13</f>
        <v>215.74370999999996</v>
      </c>
      <c r="G5" s="34">
        <f t="shared" si="0"/>
        <v>2370.8058333333333</v>
      </c>
      <c r="H5" s="34">
        <v>3511.8</v>
      </c>
      <c r="I5" s="35">
        <f t="shared" si="1"/>
        <v>34548.019543333328</v>
      </c>
      <c r="J5" s="34">
        <f t="shared" si="2"/>
        <v>12153.993275344665</v>
      </c>
      <c r="K5" s="35">
        <f t="shared" si="3"/>
        <v>46702.012818677991</v>
      </c>
      <c r="L5" s="36" t="s">
        <v>145</v>
      </c>
      <c r="M5" s="40">
        <v>2552.4499999999998</v>
      </c>
      <c r="N5" s="37">
        <f>1*P22</f>
        <v>0</v>
      </c>
      <c r="O5" s="38"/>
      <c r="P5" s="39">
        <f t="shared" si="4"/>
        <v>0</v>
      </c>
    </row>
    <row r="6" spans="1:16" x14ac:dyDescent="0.2">
      <c r="A6" s="31" t="s">
        <v>146</v>
      </c>
      <c r="B6" s="142"/>
      <c r="C6" s="32" t="s">
        <v>37</v>
      </c>
      <c r="D6" s="50">
        <v>4</v>
      </c>
      <c r="E6" s="34">
        <v>26718.84</v>
      </c>
      <c r="F6" s="34">
        <f>(2226.57*0.7/100)*13</f>
        <v>202.61786999999998</v>
      </c>
      <c r="G6" s="34">
        <f t="shared" si="0"/>
        <v>2226.5700000000002</v>
      </c>
      <c r="H6" s="34">
        <v>3511.8</v>
      </c>
      <c r="I6" s="35">
        <f t="shared" si="1"/>
        <v>32659.827869999997</v>
      </c>
      <c r="J6" s="34">
        <f t="shared" si="2"/>
        <v>11489.727444665999</v>
      </c>
      <c r="K6" s="35">
        <f t="shared" si="3"/>
        <v>44149.555314665995</v>
      </c>
      <c r="L6" s="36" t="s">
        <v>147</v>
      </c>
      <c r="M6" s="40">
        <v>3714.446435580001</v>
      </c>
      <c r="N6" s="37">
        <v>2</v>
      </c>
      <c r="O6" s="113"/>
      <c r="P6" s="39"/>
    </row>
    <row r="7" spans="1:16" x14ac:dyDescent="0.2">
      <c r="A7" s="31" t="s">
        <v>148</v>
      </c>
      <c r="B7" s="142"/>
      <c r="C7" s="32" t="s">
        <v>29</v>
      </c>
      <c r="D7" s="51">
        <v>9</v>
      </c>
      <c r="E7" s="34">
        <v>24329.64</v>
      </c>
      <c r="F7" s="34">
        <f>(2027.47*0.7/100)*13</f>
        <v>184.49977000000001</v>
      </c>
      <c r="G7" s="34">
        <f t="shared" si="0"/>
        <v>2027.47</v>
      </c>
      <c r="H7" s="34">
        <v>3370.44</v>
      </c>
      <c r="I7" s="35">
        <f t="shared" si="1"/>
        <v>29912.049769999998</v>
      </c>
      <c r="J7" s="34">
        <f t="shared" si="2"/>
        <v>10523.059109085998</v>
      </c>
      <c r="K7" s="35">
        <f t="shared" si="3"/>
        <v>40435.108879085994</v>
      </c>
      <c r="L7" s="36" t="s">
        <v>149</v>
      </c>
      <c r="M7" s="40">
        <v>2131.9150248419901</v>
      </c>
      <c r="N7" s="37">
        <f>9*P22</f>
        <v>0</v>
      </c>
      <c r="O7" s="38">
        <v>2</v>
      </c>
      <c r="P7" s="39">
        <f t="shared" si="4"/>
        <v>4263.8300496839802</v>
      </c>
    </row>
    <row r="8" spans="1:16" x14ac:dyDescent="0.2">
      <c r="A8" s="31" t="s">
        <v>150</v>
      </c>
      <c r="B8" s="142"/>
      <c r="C8" s="32" t="s">
        <v>32</v>
      </c>
      <c r="D8" s="49">
        <v>9</v>
      </c>
      <c r="E8" s="34">
        <v>23074.61</v>
      </c>
      <c r="F8" s="34">
        <f>(1922.88*0.7/100)*13</f>
        <v>174.98208</v>
      </c>
      <c r="G8" s="34">
        <f t="shared" si="0"/>
        <v>1922.8841666666667</v>
      </c>
      <c r="H8" s="34">
        <v>3162.48</v>
      </c>
      <c r="I8" s="35">
        <f t="shared" si="1"/>
        <v>28334.956246666668</v>
      </c>
      <c r="J8" s="34">
        <f t="shared" si="2"/>
        <v>9968.2376075773336</v>
      </c>
      <c r="K8" s="35">
        <f t="shared" si="3"/>
        <v>38303.193854244004</v>
      </c>
      <c r="L8" s="36" t="s">
        <v>151</v>
      </c>
      <c r="M8" s="40">
        <v>1154.4395836740077</v>
      </c>
      <c r="N8" s="37">
        <f>6*P22</f>
        <v>0</v>
      </c>
      <c r="O8" s="38"/>
      <c r="P8" s="39">
        <f t="shared" si="4"/>
        <v>0</v>
      </c>
    </row>
    <row r="9" spans="1:16" x14ac:dyDescent="0.2">
      <c r="A9" s="31" t="s">
        <v>152</v>
      </c>
      <c r="B9" s="142"/>
      <c r="C9" s="32" t="s">
        <v>59</v>
      </c>
      <c r="D9" s="49">
        <v>6</v>
      </c>
      <c r="E9" s="34">
        <v>22291.78</v>
      </c>
      <c r="F9" s="34">
        <f>(1857.65*0.7/100)*13</f>
        <v>169.04615000000001</v>
      </c>
      <c r="G9" s="34">
        <f t="shared" si="0"/>
        <v>1857.6483333333333</v>
      </c>
      <c r="H9" s="34">
        <v>3162.48</v>
      </c>
      <c r="I9" s="35">
        <f t="shared" si="1"/>
        <v>27480.954483333331</v>
      </c>
      <c r="J9" s="34">
        <f t="shared" si="2"/>
        <v>9667.7997872366668</v>
      </c>
      <c r="K9" s="35">
        <f t="shared" si="3"/>
        <v>37148.754270569996</v>
      </c>
      <c r="L9" s="36"/>
      <c r="M9" s="40"/>
      <c r="N9" s="37"/>
      <c r="O9" s="37"/>
      <c r="P9" s="39">
        <f t="shared" si="4"/>
        <v>0</v>
      </c>
    </row>
    <row r="10" spans="1:16" x14ac:dyDescent="0.2">
      <c r="A10" s="31" t="s">
        <v>140</v>
      </c>
      <c r="B10" s="142" t="s">
        <v>153</v>
      </c>
      <c r="C10" s="32" t="s">
        <v>58</v>
      </c>
      <c r="D10" s="49"/>
      <c r="E10" s="34">
        <v>23014.93</v>
      </c>
      <c r="F10" s="34">
        <f>(1917.91*0.7/100)*13</f>
        <v>174.52981</v>
      </c>
      <c r="G10" s="34">
        <f t="shared" si="0"/>
        <v>1917.9108333333334</v>
      </c>
      <c r="H10" s="34">
        <v>2811.12</v>
      </c>
      <c r="I10" s="35">
        <f t="shared" si="1"/>
        <v>27918.490643333334</v>
      </c>
      <c r="J10" s="34">
        <f t="shared" si="2"/>
        <v>9821.7250083246672</v>
      </c>
      <c r="K10" s="35">
        <f t="shared" si="3"/>
        <v>37740.215651658</v>
      </c>
      <c r="L10" s="36" t="s">
        <v>154</v>
      </c>
      <c r="M10" s="40">
        <v>939.79</v>
      </c>
      <c r="N10" s="37"/>
      <c r="O10" s="37"/>
      <c r="P10" s="39">
        <f t="shared" si="4"/>
        <v>0</v>
      </c>
    </row>
    <row r="11" spans="1:16" x14ac:dyDescent="0.2">
      <c r="A11" s="31" t="s">
        <v>140</v>
      </c>
      <c r="B11" s="142"/>
      <c r="C11" s="32" t="s">
        <v>103</v>
      </c>
      <c r="D11" s="49"/>
      <c r="E11" s="34">
        <v>22377.66</v>
      </c>
      <c r="F11" s="34">
        <f>(1864.81*0.7/100)*13</f>
        <v>169.69771</v>
      </c>
      <c r="G11" s="34">
        <f t="shared" si="0"/>
        <v>1864.8050000000001</v>
      </c>
      <c r="H11" s="34">
        <v>2811.12</v>
      </c>
      <c r="I11" s="35">
        <f t="shared" si="1"/>
        <v>27223.282709999999</v>
      </c>
      <c r="J11" s="34">
        <f t="shared" si="2"/>
        <v>9577.1508573779993</v>
      </c>
      <c r="K11" s="35">
        <f t="shared" si="3"/>
        <v>36800.433567378001</v>
      </c>
      <c r="L11" s="36" t="s">
        <v>155</v>
      </c>
      <c r="M11" s="40">
        <v>1154.2492051739973</v>
      </c>
      <c r="N11" s="37">
        <f>1*P22</f>
        <v>0</v>
      </c>
      <c r="O11" s="38"/>
      <c r="P11" s="39">
        <f t="shared" si="4"/>
        <v>0</v>
      </c>
    </row>
    <row r="12" spans="1:16" x14ac:dyDescent="0.2">
      <c r="A12" s="31" t="s">
        <v>156</v>
      </c>
      <c r="B12" s="142"/>
      <c r="C12" s="32" t="s">
        <v>37</v>
      </c>
      <c r="D12" s="51">
        <v>3</v>
      </c>
      <c r="E12" s="34">
        <v>21594.959999999999</v>
      </c>
      <c r="F12" s="34">
        <f>(1799.58*0.7/100)*13</f>
        <v>163.76177999999999</v>
      </c>
      <c r="G12" s="34">
        <f t="shared" si="0"/>
        <v>1799.58</v>
      </c>
      <c r="H12" s="34">
        <v>2811.12</v>
      </c>
      <c r="I12" s="35">
        <f t="shared" si="1"/>
        <v>26369.421780000001</v>
      </c>
      <c r="J12" s="34">
        <f t="shared" si="2"/>
        <v>9276.762582203999</v>
      </c>
      <c r="K12" s="35">
        <f t="shared" si="3"/>
        <v>35646.184362204003</v>
      </c>
      <c r="L12" s="36" t="s">
        <v>147</v>
      </c>
      <c r="M12" s="40">
        <v>1823.3200918140064</v>
      </c>
      <c r="N12" s="37">
        <f>6*P22</f>
        <v>0</v>
      </c>
      <c r="O12" s="38"/>
      <c r="P12" s="39">
        <f t="shared" si="4"/>
        <v>0</v>
      </c>
    </row>
    <row r="13" spans="1:16" x14ac:dyDescent="0.2">
      <c r="A13" s="31" t="s">
        <v>157</v>
      </c>
      <c r="B13" s="142"/>
      <c r="C13" s="32" t="s">
        <v>29</v>
      </c>
      <c r="D13" s="52">
        <v>6</v>
      </c>
      <c r="E13" s="34">
        <v>20358.560000000001</v>
      </c>
      <c r="F13" s="34">
        <f>(1696.55*0.7/100)*13</f>
        <v>154.38604999999998</v>
      </c>
      <c r="G13" s="34">
        <f t="shared" si="0"/>
        <v>1696.5466666666669</v>
      </c>
      <c r="H13" s="34">
        <v>2811.12</v>
      </c>
      <c r="I13" s="35">
        <f t="shared" si="1"/>
        <v>25020.612716666667</v>
      </c>
      <c r="J13" s="34">
        <f t="shared" si="2"/>
        <v>8802.2515537233339</v>
      </c>
      <c r="K13" s="35">
        <f t="shared" si="3"/>
        <v>33822.864270389997</v>
      </c>
      <c r="L13" s="36" t="s">
        <v>149</v>
      </c>
      <c r="M13" s="40">
        <v>2267.8216308599949</v>
      </c>
      <c r="N13" s="37"/>
      <c r="O13" s="37"/>
      <c r="P13" s="39"/>
    </row>
    <row r="14" spans="1:16" x14ac:dyDescent="0.2">
      <c r="A14" s="31" t="s">
        <v>158</v>
      </c>
      <c r="B14" s="142"/>
      <c r="C14" s="32" t="s">
        <v>32</v>
      </c>
      <c r="D14" s="52"/>
      <c r="E14" s="34">
        <v>19132.150000000001</v>
      </c>
      <c r="F14" s="34">
        <f>(1594.35*0.7/100)*13</f>
        <v>145.08584999999999</v>
      </c>
      <c r="G14" s="34">
        <f t="shared" si="0"/>
        <v>1594.3458333333335</v>
      </c>
      <c r="H14" s="34">
        <v>2471.4</v>
      </c>
      <c r="I14" s="35">
        <f t="shared" si="1"/>
        <v>23342.981683333335</v>
      </c>
      <c r="J14" s="34">
        <f t="shared" si="2"/>
        <v>8212.0609561966667</v>
      </c>
      <c r="K14" s="35">
        <f t="shared" si="3"/>
        <v>31555.042639530002</v>
      </c>
      <c r="L14" s="36" t="s">
        <v>151</v>
      </c>
      <c r="M14" s="40">
        <v>2230.0300000000002</v>
      </c>
      <c r="N14" s="6"/>
      <c r="O14" s="6"/>
      <c r="P14" s="7"/>
    </row>
    <row r="15" spans="1:16" x14ac:dyDescent="0.2">
      <c r="A15" s="31" t="s">
        <v>159</v>
      </c>
      <c r="B15" s="142"/>
      <c r="C15" s="32" t="s">
        <v>59</v>
      </c>
      <c r="D15" s="48"/>
      <c r="E15" s="34">
        <v>18203.28</v>
      </c>
      <c r="F15" s="34">
        <f>(1516.94*0.7/100)*13</f>
        <v>138.04154</v>
      </c>
      <c r="G15" s="34">
        <f t="shared" si="0"/>
        <v>1516.9399999999998</v>
      </c>
      <c r="H15" s="34">
        <v>1835.04</v>
      </c>
      <c r="I15" s="35">
        <f t="shared" si="1"/>
        <v>21693.301539999997</v>
      </c>
      <c r="J15" s="34">
        <f t="shared" si="2"/>
        <v>7631.7034817719987</v>
      </c>
      <c r="K15" s="35">
        <f t="shared" si="3"/>
        <v>29325.005021771995</v>
      </c>
      <c r="L15" s="36"/>
      <c r="M15" s="40"/>
      <c r="N15" s="37"/>
      <c r="O15" s="37"/>
      <c r="P15" s="33"/>
    </row>
    <row r="16" spans="1:16" x14ac:dyDescent="0.2">
      <c r="A16" s="31" t="s">
        <v>140</v>
      </c>
      <c r="B16" s="142" t="s">
        <v>160</v>
      </c>
      <c r="C16" s="32" t="s">
        <v>29</v>
      </c>
      <c r="D16" s="48"/>
      <c r="E16" s="34">
        <v>18523.93</v>
      </c>
      <c r="F16" s="34">
        <f>(1543.66*0.7/100)*13</f>
        <v>140.47306</v>
      </c>
      <c r="G16" s="34">
        <f t="shared" si="0"/>
        <v>1543.6608333333334</v>
      </c>
      <c r="H16" s="34">
        <v>1620.12</v>
      </c>
      <c r="I16" s="35">
        <f t="shared" si="1"/>
        <v>21828.183893333331</v>
      </c>
      <c r="J16" s="34">
        <f t="shared" si="2"/>
        <v>7679.1550936746653</v>
      </c>
      <c r="K16" s="35">
        <f t="shared" si="3"/>
        <v>29507.338987007995</v>
      </c>
      <c r="L16" s="36"/>
      <c r="M16" s="40"/>
      <c r="N16" s="37"/>
      <c r="O16" s="37"/>
      <c r="P16" s="33"/>
    </row>
    <row r="17" spans="1:16" x14ac:dyDescent="0.2">
      <c r="A17" s="31" t="s">
        <v>161</v>
      </c>
      <c r="B17" s="142"/>
      <c r="C17" s="32" t="s">
        <v>32</v>
      </c>
      <c r="D17" s="48"/>
      <c r="E17" s="34">
        <v>17868.349999999999</v>
      </c>
      <c r="F17" s="34">
        <f>(1489.03*0.7/100)*13</f>
        <v>135.50172999999998</v>
      </c>
      <c r="G17" s="34">
        <f t="shared" si="0"/>
        <v>1489.0291666666665</v>
      </c>
      <c r="H17" s="34">
        <v>1620.12</v>
      </c>
      <c r="I17" s="35">
        <f t="shared" si="1"/>
        <v>21113.000896666665</v>
      </c>
      <c r="J17" s="34">
        <f t="shared" si="2"/>
        <v>7427.5537154473332</v>
      </c>
      <c r="K17" s="35">
        <f t="shared" si="3"/>
        <v>28540.554612114</v>
      </c>
      <c r="L17" s="36"/>
      <c r="M17" s="40"/>
      <c r="N17" s="37"/>
      <c r="O17" s="37"/>
      <c r="P17" s="33"/>
    </row>
    <row r="18" spans="1:16" x14ac:dyDescent="0.2">
      <c r="A18" s="31" t="s">
        <v>162</v>
      </c>
      <c r="B18" s="142"/>
      <c r="C18" s="32" t="s">
        <v>59</v>
      </c>
      <c r="D18" s="48"/>
      <c r="E18" s="34">
        <v>17263.45</v>
      </c>
      <c r="F18" s="34">
        <f>(1438.62*0.7/100)*13</f>
        <v>130.91441999999998</v>
      </c>
      <c r="G18" s="34">
        <f t="shared" si="0"/>
        <v>1438.6208333333334</v>
      </c>
      <c r="H18" s="34">
        <v>1620.12</v>
      </c>
      <c r="I18" s="35">
        <f t="shared" si="1"/>
        <v>20453.105253333335</v>
      </c>
      <c r="J18" s="34">
        <f t="shared" si="2"/>
        <v>7195.4024281226666</v>
      </c>
      <c r="K18" s="35">
        <f t="shared" si="3"/>
        <v>27648.507681456002</v>
      </c>
      <c r="L18" s="36"/>
      <c r="M18" s="40"/>
      <c r="N18" s="37"/>
      <c r="O18" s="37"/>
      <c r="P18" s="33"/>
    </row>
    <row r="19" spans="1:16" x14ac:dyDescent="0.2">
      <c r="D19" s="53">
        <v>38</v>
      </c>
      <c r="N19" s="6">
        <f>SUM(N3:N18)</f>
        <v>2</v>
      </c>
      <c r="O19" s="6">
        <f>SUM(O3:O18)</f>
        <v>2</v>
      </c>
      <c r="P19" s="7">
        <f>SUM(P3:P18)</f>
        <v>4263.8300496839802</v>
      </c>
    </row>
    <row r="20" spans="1:16" x14ac:dyDescent="0.2">
      <c r="B20" s="28" t="s">
        <v>204</v>
      </c>
      <c r="C20" s="41"/>
      <c r="D20" s="16">
        <v>28</v>
      </c>
      <c r="N20" s="8"/>
      <c r="O20" s="8"/>
      <c r="P20" s="9"/>
    </row>
    <row r="21" spans="1:16" ht="91.5" customHeight="1" x14ac:dyDescent="0.2">
      <c r="F21" s="10"/>
      <c r="G21" s="10"/>
      <c r="H21" s="42"/>
      <c r="J21" s="141" t="s">
        <v>163</v>
      </c>
      <c r="K21" s="141"/>
      <c r="M21" s="97" t="s">
        <v>182</v>
      </c>
      <c r="P21" s="96"/>
    </row>
    <row r="22" spans="1:16" ht="51" customHeight="1" x14ac:dyDescent="0.2">
      <c r="B22" s="11" t="s">
        <v>126</v>
      </c>
      <c r="C22" s="11"/>
      <c r="D22" s="43" t="s">
        <v>164</v>
      </c>
      <c r="F22" s="44"/>
      <c r="G22" s="44"/>
      <c r="H22" s="44"/>
      <c r="I22" s="14"/>
      <c r="L22" s="14"/>
      <c r="M22" s="141" t="s">
        <v>165</v>
      </c>
      <c r="N22" s="141"/>
      <c r="O22" s="45"/>
      <c r="P22" s="46">
        <f>(P21/D20)</f>
        <v>0</v>
      </c>
    </row>
    <row r="23" spans="1:16" x14ac:dyDescent="0.2">
      <c r="B23" s="12" t="s">
        <v>166</v>
      </c>
      <c r="C23" s="11">
        <f>(229.92/12)*13</f>
        <v>249.08</v>
      </c>
      <c r="D23" s="34">
        <f>(32246.48/12)</f>
        <v>2687.2066666666665</v>
      </c>
      <c r="F23" s="44"/>
      <c r="G23" s="44"/>
      <c r="H23" s="44"/>
      <c r="I23" s="14"/>
      <c r="L23" s="14"/>
    </row>
    <row r="24" spans="1:16" x14ac:dyDescent="0.2">
      <c r="B24" s="11" t="s">
        <v>167</v>
      </c>
      <c r="C24" s="11">
        <f>(216.6/12)*13</f>
        <v>234.65</v>
      </c>
      <c r="D24" s="34">
        <f>(30369/12)</f>
        <v>2530.75</v>
      </c>
      <c r="F24" s="44"/>
      <c r="G24" s="44"/>
      <c r="H24" s="44"/>
      <c r="L24" s="14"/>
      <c r="N24" s="28" t="s">
        <v>199</v>
      </c>
      <c r="P24" s="103">
        <f>P22</f>
        <v>0</v>
      </c>
    </row>
    <row r="25" spans="1:16" x14ac:dyDescent="0.2">
      <c r="B25" s="11" t="s">
        <v>168</v>
      </c>
      <c r="C25" s="11">
        <f>(202.8/12)*13</f>
        <v>219.70000000000002</v>
      </c>
      <c r="D25" s="34">
        <f>(28449.67/12)</f>
        <v>2370.8058333333333</v>
      </c>
      <c r="F25" s="44"/>
      <c r="G25" s="44"/>
      <c r="H25" s="44"/>
      <c r="L25" s="14"/>
      <c r="M25" s="14"/>
    </row>
    <row r="26" spans="1:16" x14ac:dyDescent="0.2">
      <c r="B26" s="11" t="s">
        <v>169</v>
      </c>
      <c r="C26" s="11">
        <f>(190.44/12)*13</f>
        <v>206.31</v>
      </c>
      <c r="D26" s="34">
        <f>(26718.84/12)</f>
        <v>2226.5700000000002</v>
      </c>
      <c r="F26" s="44"/>
      <c r="G26" s="44"/>
      <c r="H26" s="44"/>
      <c r="J26" s="14"/>
      <c r="L26" s="14"/>
      <c r="M26" s="14"/>
    </row>
    <row r="27" spans="1:16" x14ac:dyDescent="0.2">
      <c r="B27" s="11" t="s">
        <v>170</v>
      </c>
      <c r="C27" s="11">
        <f>(173.4/12)*13</f>
        <v>187.85000000000002</v>
      </c>
      <c r="D27" s="34">
        <f>(24329.64/12)</f>
        <v>2027.47</v>
      </c>
      <c r="F27" s="44"/>
      <c r="G27" s="44"/>
      <c r="H27" s="44"/>
      <c r="L27" s="14"/>
    </row>
    <row r="28" spans="1:16" x14ac:dyDescent="0.2">
      <c r="B28" s="11" t="s">
        <v>171</v>
      </c>
      <c r="C28" s="11">
        <f>(164.16/12)*13</f>
        <v>177.84</v>
      </c>
      <c r="D28" s="34">
        <f>(23074.61/12)</f>
        <v>1922.8841666666667</v>
      </c>
      <c r="F28" s="44"/>
      <c r="G28" s="44"/>
      <c r="H28" s="44"/>
      <c r="J28" s="14"/>
      <c r="K28" s="14"/>
      <c r="L28" s="14"/>
    </row>
    <row r="29" spans="1:16" x14ac:dyDescent="0.2">
      <c r="B29" s="11" t="s">
        <v>172</v>
      </c>
      <c r="C29" s="11">
        <f>(158.4/12)*13</f>
        <v>171.60000000000002</v>
      </c>
      <c r="D29" s="34">
        <f>(22291.78/12)</f>
        <v>1857.6483333333333</v>
      </c>
      <c r="F29" s="44"/>
      <c r="G29" s="44"/>
      <c r="H29" s="44"/>
      <c r="L29" s="14"/>
    </row>
    <row r="30" spans="1:16" x14ac:dyDescent="0.2">
      <c r="B30" s="11" t="s">
        <v>173</v>
      </c>
      <c r="C30" s="11">
        <f>(163.68/12)*13</f>
        <v>177.32</v>
      </c>
      <c r="D30" s="34">
        <f>(23014.93/12)</f>
        <v>1917.9108333333334</v>
      </c>
      <c r="F30" s="44"/>
      <c r="G30" s="44"/>
      <c r="H30" s="44"/>
      <c r="I30" s="13"/>
      <c r="J30" s="14"/>
      <c r="K30" s="13"/>
      <c r="L30" s="47"/>
      <c r="M30" s="13"/>
    </row>
    <row r="31" spans="1:16" x14ac:dyDescent="0.2">
      <c r="B31" s="11" t="s">
        <v>174</v>
      </c>
      <c r="C31" s="11">
        <f>(159.12/12)*13</f>
        <v>172.38</v>
      </c>
      <c r="D31" s="34">
        <f>(22377.66/12)</f>
        <v>1864.8050000000001</v>
      </c>
      <c r="F31" s="44"/>
      <c r="G31" s="44"/>
      <c r="H31" s="44"/>
      <c r="I31" s="13"/>
      <c r="J31" s="13"/>
      <c r="K31" s="13"/>
      <c r="L31" s="47"/>
      <c r="M31" s="13"/>
    </row>
    <row r="32" spans="1:16" x14ac:dyDescent="0.2">
      <c r="B32" s="11" t="s">
        <v>175</v>
      </c>
      <c r="C32" s="11">
        <f>(153.84/12)*13</f>
        <v>166.66</v>
      </c>
      <c r="D32" s="34">
        <f>(21594.96/12)</f>
        <v>1799.58</v>
      </c>
      <c r="F32" s="44"/>
      <c r="G32" s="44"/>
      <c r="H32" s="44"/>
      <c r="I32" s="13"/>
      <c r="J32" s="13"/>
      <c r="K32" s="13"/>
      <c r="L32" s="13"/>
      <c r="M32" s="13"/>
    </row>
    <row r="33" spans="2:17" ht="12.75" customHeight="1" x14ac:dyDescent="0.2">
      <c r="B33" s="11" t="s">
        <v>176</v>
      </c>
      <c r="C33" s="11">
        <f>(145.32/12)*13</f>
        <v>157.43</v>
      </c>
      <c r="D33" s="34">
        <f>(20358.56/12)</f>
        <v>1696.5466666666669</v>
      </c>
      <c r="F33" s="44"/>
      <c r="G33" s="44"/>
      <c r="H33" s="44"/>
      <c r="I33" s="13"/>
      <c r="J33" s="13"/>
      <c r="K33" s="13"/>
      <c r="L33" s="13"/>
      <c r="P33" s="141"/>
      <c r="Q33" s="141"/>
    </row>
    <row r="34" spans="2:17" x14ac:dyDescent="0.2">
      <c r="B34" s="11" t="s">
        <v>177</v>
      </c>
      <c r="C34" s="11">
        <f>(136.44/12)*13</f>
        <v>147.81</v>
      </c>
      <c r="D34" s="34">
        <f>(19132.15/12)</f>
        <v>1594.3458333333335</v>
      </c>
      <c r="F34" s="44"/>
      <c r="G34" s="44"/>
      <c r="H34" s="44"/>
      <c r="I34" s="13"/>
      <c r="J34" s="47"/>
      <c r="K34" s="13"/>
      <c r="L34" s="13"/>
      <c r="M34" s="13"/>
    </row>
    <row r="35" spans="2:17" x14ac:dyDescent="0.2">
      <c r="B35" s="11" t="s">
        <v>178</v>
      </c>
      <c r="C35" s="11">
        <f>(129.72/12)*13</f>
        <v>140.53</v>
      </c>
      <c r="D35" s="34">
        <f>(18203.28/12)</f>
        <v>1516.9399999999998</v>
      </c>
      <c r="F35" s="44"/>
      <c r="G35" s="44"/>
      <c r="H35" s="44"/>
      <c r="I35" s="13"/>
      <c r="J35" s="13"/>
      <c r="K35" s="13"/>
      <c r="L35" s="13"/>
      <c r="M35" s="13"/>
    </row>
    <row r="36" spans="2:17" x14ac:dyDescent="0.2">
      <c r="B36" s="11" t="s">
        <v>179</v>
      </c>
      <c r="C36" s="11">
        <f>(132/12)*13</f>
        <v>143</v>
      </c>
      <c r="D36" s="34">
        <f>(18523.93/12)</f>
        <v>1543.6608333333334</v>
      </c>
      <c r="F36" s="44"/>
      <c r="G36" s="44"/>
      <c r="H36" s="44"/>
      <c r="I36" s="13"/>
      <c r="J36" s="47"/>
      <c r="K36" s="47"/>
      <c r="L36" s="13"/>
      <c r="M36" s="13"/>
    </row>
    <row r="37" spans="2:17" x14ac:dyDescent="0.2">
      <c r="B37" s="11" t="s">
        <v>180</v>
      </c>
      <c r="C37" s="11">
        <f>(127.32/12)*13</f>
        <v>137.93</v>
      </c>
      <c r="D37" s="34">
        <f>(17868.35/12)</f>
        <v>1489.0291666666665</v>
      </c>
      <c r="F37" s="44"/>
      <c r="G37" s="44"/>
      <c r="H37" s="44"/>
      <c r="I37" s="15"/>
      <c r="J37" s="15"/>
      <c r="K37" s="15"/>
      <c r="L37" s="13"/>
      <c r="M37" s="13"/>
    </row>
    <row r="38" spans="2:17" x14ac:dyDescent="0.2">
      <c r="B38" s="11" t="s">
        <v>181</v>
      </c>
      <c r="C38" s="11">
        <f>(122.88/12)*13</f>
        <v>133.12</v>
      </c>
      <c r="D38" s="34">
        <f>(17263.45/12)</f>
        <v>1438.6208333333334</v>
      </c>
      <c r="F38" s="42"/>
      <c r="G38" s="42"/>
      <c r="H38" s="42"/>
      <c r="I38" s="15"/>
      <c r="J38" s="15"/>
      <c r="K38" s="15"/>
      <c r="L38" s="13"/>
    </row>
    <row r="39" spans="2:17" ht="60.75" customHeight="1" x14ac:dyDescent="0.2"/>
    <row r="40" spans="2:17" ht="60.75" customHeight="1" x14ac:dyDescent="0.2"/>
  </sheetData>
  <mergeCells count="6">
    <mergeCell ref="P33:Q33"/>
    <mergeCell ref="B3:B9"/>
    <mergeCell ref="B10:B15"/>
    <mergeCell ref="B16:B18"/>
    <mergeCell ref="J21:K21"/>
    <mergeCell ref="M22:N22"/>
  </mergeCells>
  <pageMargins left="0.7" right="0.7" top="0.75" bottom="0.75" header="0.3" footer="0.3"/>
  <pageSetup paperSize="8" scale="62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P29" sqref="P29"/>
    </sheetView>
  </sheetViews>
  <sheetFormatPr defaultRowHeight="15" x14ac:dyDescent="0.25"/>
  <cols>
    <col min="1" max="1" width="13.7109375" customWidth="1"/>
    <col min="2" max="2" width="15.7109375" customWidth="1"/>
    <col min="3" max="3" width="10.85546875" hidden="1" customWidth="1"/>
    <col min="4" max="4" width="11.85546875" hidden="1" customWidth="1"/>
    <col min="5" max="6" width="10.85546875" hidden="1" customWidth="1"/>
    <col min="7" max="7" width="12.5703125" hidden="1" customWidth="1"/>
    <col min="8" max="8" width="12" hidden="1" customWidth="1"/>
    <col min="9" max="9" width="11.85546875" hidden="1" customWidth="1"/>
    <col min="10" max="10" width="12" hidden="1" customWidth="1"/>
    <col min="11" max="11" width="12.7109375" bestFit="1" customWidth="1"/>
    <col min="12" max="12" width="14.7109375" customWidth="1"/>
    <col min="13" max="13" width="14.42578125" customWidth="1"/>
    <col min="14" max="14" width="16.42578125" hidden="1" customWidth="1"/>
    <col min="15" max="15" width="11.85546875" bestFit="1" customWidth="1"/>
  </cols>
  <sheetData>
    <row r="1" spans="1:15" ht="60" x14ac:dyDescent="0.25">
      <c r="A1" s="115" t="s">
        <v>125</v>
      </c>
      <c r="B1" s="115" t="s">
        <v>126</v>
      </c>
      <c r="C1" s="116" t="s">
        <v>127</v>
      </c>
      <c r="D1" s="117" t="s">
        <v>128</v>
      </c>
      <c r="E1" s="117" t="s">
        <v>129</v>
      </c>
      <c r="F1" s="117" t="s">
        <v>130</v>
      </c>
      <c r="G1" s="117" t="s">
        <v>131</v>
      </c>
      <c r="H1" s="116" t="s">
        <v>132</v>
      </c>
      <c r="I1" s="117" t="s">
        <v>133</v>
      </c>
      <c r="J1" s="116" t="s">
        <v>134</v>
      </c>
      <c r="K1" s="116" t="s">
        <v>135</v>
      </c>
      <c r="L1" s="116" t="s">
        <v>136</v>
      </c>
      <c r="M1" s="116" t="s">
        <v>137</v>
      </c>
      <c r="N1" s="116" t="s">
        <v>138</v>
      </c>
      <c r="O1" s="116" t="s">
        <v>139</v>
      </c>
    </row>
    <row r="2" spans="1:15" x14ac:dyDescent="0.25">
      <c r="A2" s="144" t="s">
        <v>141</v>
      </c>
      <c r="B2" s="118" t="s">
        <v>104</v>
      </c>
      <c r="C2" s="119"/>
      <c r="D2" s="120">
        <v>32246.48</v>
      </c>
      <c r="E2" s="120">
        <f>(2687.21*0.7/100)*13</f>
        <v>244.53610999999998</v>
      </c>
      <c r="F2" s="120" t="e">
        <f>#REF!</f>
        <v>#REF!</v>
      </c>
      <c r="G2" s="120">
        <v>3511.8</v>
      </c>
      <c r="H2" s="121" t="e">
        <f t="shared" ref="H2:H17" si="0">SUM(D2:G2)</f>
        <v>#REF!</v>
      </c>
      <c r="I2" s="120" t="e">
        <f>H2*35.18/100</f>
        <v>#REF!</v>
      </c>
      <c r="J2" s="121" t="e">
        <f>H2+I2</f>
        <v>#REF!</v>
      </c>
      <c r="K2" s="122" t="s">
        <v>142</v>
      </c>
      <c r="L2" s="122">
        <v>2768.7223251480027</v>
      </c>
      <c r="M2" s="123"/>
      <c r="N2" s="124"/>
      <c r="O2" s="126">
        <v>0</v>
      </c>
    </row>
    <row r="3" spans="1:15" x14ac:dyDescent="0.25">
      <c r="A3" s="144"/>
      <c r="B3" s="118" t="s">
        <v>58</v>
      </c>
      <c r="C3" s="119"/>
      <c r="D3" s="120">
        <v>30369</v>
      </c>
      <c r="E3" s="120">
        <f>(2530.75*0.7/100)*13</f>
        <v>230.29824999999997</v>
      </c>
      <c r="F3" s="120" t="e">
        <f>#REF!</f>
        <v>#REF!</v>
      </c>
      <c r="G3" s="120">
        <v>3511.8</v>
      </c>
      <c r="H3" s="121" t="e">
        <f t="shared" si="0"/>
        <v>#REF!</v>
      </c>
      <c r="I3" s="120" t="e">
        <f t="shared" ref="I3:I17" si="1">H3*35.18/100</f>
        <v>#REF!</v>
      </c>
      <c r="J3" s="121" t="e">
        <f t="shared" ref="J3:J17" si="2">H3+I3</f>
        <v>#REF!</v>
      </c>
      <c r="K3" s="122" t="s">
        <v>143</v>
      </c>
      <c r="L3" s="122">
        <v>2830.4376456720129</v>
      </c>
      <c r="M3" s="125"/>
      <c r="N3" s="118"/>
      <c r="O3" s="126">
        <v>0</v>
      </c>
    </row>
    <row r="4" spans="1:15" x14ac:dyDescent="0.25">
      <c r="A4" s="144"/>
      <c r="B4" s="118" t="s">
        <v>103</v>
      </c>
      <c r="C4" s="127">
        <v>1</v>
      </c>
      <c r="D4" s="120">
        <v>28449.67</v>
      </c>
      <c r="E4" s="120">
        <f>(2370.81*0.7/100)*13</f>
        <v>215.74370999999996</v>
      </c>
      <c r="F4" s="120" t="e">
        <f>#REF!</f>
        <v>#REF!</v>
      </c>
      <c r="G4" s="120">
        <v>3511.8</v>
      </c>
      <c r="H4" s="121" t="e">
        <f t="shared" si="0"/>
        <v>#REF!</v>
      </c>
      <c r="I4" s="120" t="e">
        <f t="shared" si="1"/>
        <v>#REF!</v>
      </c>
      <c r="J4" s="121" t="e">
        <f t="shared" si="2"/>
        <v>#REF!</v>
      </c>
      <c r="K4" s="122" t="s">
        <v>145</v>
      </c>
      <c r="L4" s="128">
        <v>2552.4499999999998</v>
      </c>
      <c r="M4" s="125"/>
      <c r="N4" s="118"/>
      <c r="O4" s="126">
        <v>0</v>
      </c>
    </row>
    <row r="5" spans="1:15" x14ac:dyDescent="0.25">
      <c r="A5" s="144"/>
      <c r="B5" s="137" t="s">
        <v>37</v>
      </c>
      <c r="C5" s="138">
        <v>4</v>
      </c>
      <c r="D5" s="139">
        <v>26718.84</v>
      </c>
      <c r="E5" s="139">
        <f>(2226.57*0.7/100)*13</f>
        <v>202.61786999999998</v>
      </c>
      <c r="F5" s="139" t="e">
        <f>#REF!</f>
        <v>#REF!</v>
      </c>
      <c r="G5" s="139">
        <v>3511.8</v>
      </c>
      <c r="H5" s="122" t="e">
        <f t="shared" si="0"/>
        <v>#REF!</v>
      </c>
      <c r="I5" s="139" t="e">
        <f t="shared" si="1"/>
        <v>#REF!</v>
      </c>
      <c r="J5" s="122" t="e">
        <f t="shared" si="2"/>
        <v>#REF!</v>
      </c>
      <c r="K5" s="122" t="s">
        <v>147</v>
      </c>
      <c r="L5" s="128">
        <v>3714.446435580001</v>
      </c>
      <c r="M5" s="125">
        <v>2</v>
      </c>
      <c r="N5" s="118"/>
      <c r="O5" s="126">
        <v>7428.892871160002</v>
      </c>
    </row>
    <row r="6" spans="1:15" x14ac:dyDescent="0.25">
      <c r="A6" s="144"/>
      <c r="B6" s="137" t="s">
        <v>29</v>
      </c>
      <c r="C6" s="140">
        <v>9</v>
      </c>
      <c r="D6" s="139">
        <v>24329.64</v>
      </c>
      <c r="E6" s="139">
        <f>(2027.47*0.7/100)*13</f>
        <v>184.49977000000001</v>
      </c>
      <c r="F6" s="139" t="e">
        <f>#REF!</f>
        <v>#REF!</v>
      </c>
      <c r="G6" s="139">
        <v>3370.44</v>
      </c>
      <c r="H6" s="122" t="e">
        <f t="shared" si="0"/>
        <v>#REF!</v>
      </c>
      <c r="I6" s="139" t="e">
        <f t="shared" si="1"/>
        <v>#REF!</v>
      </c>
      <c r="J6" s="122" t="e">
        <f t="shared" si="2"/>
        <v>#REF!</v>
      </c>
      <c r="K6" s="122" t="s">
        <v>149</v>
      </c>
      <c r="L6" s="128">
        <v>2131.9150248419901</v>
      </c>
      <c r="M6" s="125">
        <v>4</v>
      </c>
      <c r="N6" s="118"/>
      <c r="O6" s="126">
        <v>8527.6600993679604</v>
      </c>
    </row>
    <row r="7" spans="1:15" x14ac:dyDescent="0.25">
      <c r="A7" s="144"/>
      <c r="B7" s="137" t="s">
        <v>32</v>
      </c>
      <c r="C7" s="138">
        <v>9</v>
      </c>
      <c r="D7" s="139">
        <v>23074.61</v>
      </c>
      <c r="E7" s="139">
        <f>(1922.88*0.7/100)*13</f>
        <v>174.98208</v>
      </c>
      <c r="F7" s="139" t="e">
        <f>#REF!</f>
        <v>#REF!</v>
      </c>
      <c r="G7" s="139">
        <v>3162.48</v>
      </c>
      <c r="H7" s="122" t="e">
        <f t="shared" si="0"/>
        <v>#REF!</v>
      </c>
      <c r="I7" s="139" t="e">
        <f t="shared" si="1"/>
        <v>#REF!</v>
      </c>
      <c r="J7" s="122" t="e">
        <f t="shared" si="2"/>
        <v>#REF!</v>
      </c>
      <c r="K7" s="122" t="s">
        <v>151</v>
      </c>
      <c r="L7" s="128">
        <v>1154.4395836740077</v>
      </c>
      <c r="M7" s="125">
        <v>2</v>
      </c>
      <c r="N7" s="118"/>
      <c r="O7" s="126">
        <v>2308.8791673480155</v>
      </c>
    </row>
    <row r="8" spans="1:15" x14ac:dyDescent="0.25">
      <c r="A8" s="144"/>
      <c r="B8" s="137" t="s">
        <v>59</v>
      </c>
      <c r="C8" s="138">
        <v>6</v>
      </c>
      <c r="D8" s="139">
        <v>22291.78</v>
      </c>
      <c r="E8" s="139">
        <f>(1857.65*0.7/100)*13</f>
        <v>169.04615000000001</v>
      </c>
      <c r="F8" s="139" t="e">
        <f>#REF!</f>
        <v>#REF!</v>
      </c>
      <c r="G8" s="139">
        <v>3162.48</v>
      </c>
      <c r="H8" s="122" t="e">
        <f t="shared" si="0"/>
        <v>#REF!</v>
      </c>
      <c r="I8" s="139" t="e">
        <f t="shared" si="1"/>
        <v>#REF!</v>
      </c>
      <c r="J8" s="122" t="e">
        <f t="shared" si="2"/>
        <v>#REF!</v>
      </c>
      <c r="K8" s="122"/>
      <c r="L8" s="128"/>
      <c r="M8" s="125"/>
      <c r="N8" s="118"/>
      <c r="O8" s="126">
        <v>0</v>
      </c>
    </row>
    <row r="9" spans="1:15" x14ac:dyDescent="0.25">
      <c r="A9" s="144" t="s">
        <v>153</v>
      </c>
      <c r="B9" s="137" t="s">
        <v>58</v>
      </c>
      <c r="C9" s="138"/>
      <c r="D9" s="139">
        <v>23014.93</v>
      </c>
      <c r="E9" s="139">
        <f>(1917.91*0.7/100)*13</f>
        <v>174.52981</v>
      </c>
      <c r="F9" s="139" t="e">
        <f>#REF!</f>
        <v>#REF!</v>
      </c>
      <c r="G9" s="139">
        <v>2811.12</v>
      </c>
      <c r="H9" s="122" t="e">
        <f t="shared" si="0"/>
        <v>#REF!</v>
      </c>
      <c r="I9" s="139" t="e">
        <f t="shared" si="1"/>
        <v>#REF!</v>
      </c>
      <c r="J9" s="122" t="e">
        <f t="shared" si="2"/>
        <v>#REF!</v>
      </c>
      <c r="K9" s="122" t="s">
        <v>154</v>
      </c>
      <c r="L9" s="128">
        <v>939.79</v>
      </c>
      <c r="M9" s="125"/>
      <c r="N9" s="118"/>
      <c r="O9" s="126">
        <v>0</v>
      </c>
    </row>
    <row r="10" spans="1:15" x14ac:dyDescent="0.25">
      <c r="A10" s="144"/>
      <c r="B10" s="137" t="s">
        <v>103</v>
      </c>
      <c r="C10" s="138"/>
      <c r="D10" s="139">
        <v>22377.66</v>
      </c>
      <c r="E10" s="139">
        <f>(1864.81*0.7/100)*13</f>
        <v>169.69771</v>
      </c>
      <c r="F10" s="139" t="e">
        <f>#REF!</f>
        <v>#REF!</v>
      </c>
      <c r="G10" s="139">
        <v>2811.12</v>
      </c>
      <c r="H10" s="122" t="e">
        <f t="shared" si="0"/>
        <v>#REF!</v>
      </c>
      <c r="I10" s="139" t="e">
        <f t="shared" si="1"/>
        <v>#REF!</v>
      </c>
      <c r="J10" s="122" t="e">
        <f t="shared" si="2"/>
        <v>#REF!</v>
      </c>
      <c r="K10" s="122" t="s">
        <v>155</v>
      </c>
      <c r="L10" s="128">
        <v>1154.2492051739973</v>
      </c>
      <c r="M10" s="125"/>
      <c r="N10" s="118"/>
      <c r="O10" s="126">
        <v>0</v>
      </c>
    </row>
    <row r="11" spans="1:15" x14ac:dyDescent="0.25">
      <c r="A11" s="144"/>
      <c r="B11" s="137" t="s">
        <v>37</v>
      </c>
      <c r="C11" s="140">
        <v>3</v>
      </c>
      <c r="D11" s="139">
        <v>21594.959999999999</v>
      </c>
      <c r="E11" s="139">
        <f>(1799.58*0.7/100)*13</f>
        <v>163.76177999999999</v>
      </c>
      <c r="F11" s="139" t="e">
        <f>#REF!</f>
        <v>#REF!</v>
      </c>
      <c r="G11" s="139">
        <v>2811.12</v>
      </c>
      <c r="H11" s="122" t="e">
        <f t="shared" si="0"/>
        <v>#REF!</v>
      </c>
      <c r="I11" s="139" t="e">
        <f t="shared" si="1"/>
        <v>#REF!</v>
      </c>
      <c r="J11" s="122" t="e">
        <f t="shared" si="2"/>
        <v>#REF!</v>
      </c>
      <c r="K11" s="122" t="s">
        <v>147</v>
      </c>
      <c r="L11" s="128">
        <v>1823.3200918140064</v>
      </c>
      <c r="M11" s="125">
        <v>2</v>
      </c>
      <c r="N11" s="118"/>
      <c r="O11" s="126">
        <v>3646.6401836280129</v>
      </c>
    </row>
    <row r="12" spans="1:15" x14ac:dyDescent="0.25">
      <c r="A12" s="144"/>
      <c r="B12" s="118" t="s">
        <v>29</v>
      </c>
      <c r="C12" s="129">
        <v>6</v>
      </c>
      <c r="D12" s="120">
        <v>20358.560000000001</v>
      </c>
      <c r="E12" s="120">
        <f>(1696.55*0.7/100)*13</f>
        <v>154.38604999999998</v>
      </c>
      <c r="F12" s="120" t="e">
        <f>#REF!</f>
        <v>#REF!</v>
      </c>
      <c r="G12" s="120">
        <v>2811.12</v>
      </c>
      <c r="H12" s="121" t="e">
        <f t="shared" si="0"/>
        <v>#REF!</v>
      </c>
      <c r="I12" s="120" t="e">
        <f t="shared" si="1"/>
        <v>#REF!</v>
      </c>
      <c r="J12" s="121" t="e">
        <f t="shared" si="2"/>
        <v>#REF!</v>
      </c>
      <c r="K12" s="122" t="s">
        <v>149</v>
      </c>
      <c r="L12" s="128">
        <v>2267.8216308599949</v>
      </c>
      <c r="M12" s="125"/>
      <c r="N12" s="118"/>
      <c r="O12" s="126">
        <v>0</v>
      </c>
    </row>
    <row r="13" spans="1:15" x14ac:dyDescent="0.25">
      <c r="A13" s="144"/>
      <c r="B13" s="118" t="s">
        <v>32</v>
      </c>
      <c r="C13" s="129"/>
      <c r="D13" s="120">
        <v>19132.150000000001</v>
      </c>
      <c r="E13" s="120">
        <f>(1594.35*0.7/100)*13</f>
        <v>145.08584999999999</v>
      </c>
      <c r="F13" s="120" t="e">
        <f>#REF!</f>
        <v>#REF!</v>
      </c>
      <c r="G13" s="120">
        <v>2471.4</v>
      </c>
      <c r="H13" s="121" t="e">
        <f t="shared" si="0"/>
        <v>#REF!</v>
      </c>
      <c r="I13" s="120" t="e">
        <f t="shared" si="1"/>
        <v>#REF!</v>
      </c>
      <c r="J13" s="121" t="e">
        <f t="shared" si="2"/>
        <v>#REF!</v>
      </c>
      <c r="K13" s="122" t="s">
        <v>151</v>
      </c>
      <c r="L13" s="128">
        <v>2230.0300000000002</v>
      </c>
      <c r="M13" s="16"/>
      <c r="N13" s="130"/>
      <c r="O13" s="126">
        <v>0</v>
      </c>
    </row>
    <row r="14" spans="1:15" x14ac:dyDescent="0.25">
      <c r="A14" s="144"/>
      <c r="B14" s="118" t="s">
        <v>59</v>
      </c>
      <c r="C14" s="119"/>
      <c r="D14" s="120">
        <v>18203.28</v>
      </c>
      <c r="E14" s="120">
        <f>(1516.94*0.7/100)*13</f>
        <v>138.04154</v>
      </c>
      <c r="F14" s="120" t="e">
        <f>#REF!</f>
        <v>#REF!</v>
      </c>
      <c r="G14" s="120">
        <v>1835.04</v>
      </c>
      <c r="H14" s="121" t="e">
        <f t="shared" si="0"/>
        <v>#REF!</v>
      </c>
      <c r="I14" s="120" t="e">
        <f t="shared" si="1"/>
        <v>#REF!</v>
      </c>
      <c r="J14" s="121" t="e">
        <f t="shared" si="2"/>
        <v>#REF!</v>
      </c>
      <c r="K14" s="122"/>
      <c r="L14" s="128"/>
      <c r="M14" s="125"/>
      <c r="N14" s="118"/>
      <c r="O14" s="126">
        <v>0</v>
      </c>
    </row>
    <row r="15" spans="1:15" x14ac:dyDescent="0.25">
      <c r="A15" s="144" t="s">
        <v>160</v>
      </c>
      <c r="B15" s="118" t="s">
        <v>29</v>
      </c>
      <c r="C15" s="119"/>
      <c r="D15" s="120">
        <v>18523.93</v>
      </c>
      <c r="E15" s="120">
        <f>(1543.66*0.7/100)*13</f>
        <v>140.47306</v>
      </c>
      <c r="F15" s="120" t="e">
        <f>#REF!</f>
        <v>#REF!</v>
      </c>
      <c r="G15" s="120">
        <v>1620.12</v>
      </c>
      <c r="H15" s="121" t="e">
        <f t="shared" si="0"/>
        <v>#REF!</v>
      </c>
      <c r="I15" s="120" t="e">
        <f t="shared" si="1"/>
        <v>#REF!</v>
      </c>
      <c r="J15" s="121" t="e">
        <f t="shared" si="2"/>
        <v>#REF!</v>
      </c>
      <c r="K15" s="122"/>
      <c r="L15" s="128"/>
      <c r="M15" s="125"/>
      <c r="N15" s="118"/>
      <c r="O15" s="126">
        <v>0</v>
      </c>
    </row>
    <row r="16" spans="1:15" x14ac:dyDescent="0.25">
      <c r="A16" s="144"/>
      <c r="B16" s="118" t="s">
        <v>32</v>
      </c>
      <c r="C16" s="119"/>
      <c r="D16" s="120">
        <v>17868.349999999999</v>
      </c>
      <c r="E16" s="120">
        <f>(1489.03*0.7/100)*13</f>
        <v>135.50172999999998</v>
      </c>
      <c r="F16" s="120" t="e">
        <f>#REF!</f>
        <v>#REF!</v>
      </c>
      <c r="G16" s="120">
        <v>1620.12</v>
      </c>
      <c r="H16" s="121" t="e">
        <f t="shared" si="0"/>
        <v>#REF!</v>
      </c>
      <c r="I16" s="120" t="e">
        <f t="shared" si="1"/>
        <v>#REF!</v>
      </c>
      <c r="J16" s="121" t="e">
        <f t="shared" si="2"/>
        <v>#REF!</v>
      </c>
      <c r="K16" s="122"/>
      <c r="L16" s="128"/>
      <c r="M16" s="125"/>
      <c r="N16" s="118"/>
      <c r="O16" s="126">
        <v>0</v>
      </c>
    </row>
    <row r="17" spans="1:15" x14ac:dyDescent="0.25">
      <c r="A17" s="144"/>
      <c r="B17" s="118" t="s">
        <v>59</v>
      </c>
      <c r="C17" s="119"/>
      <c r="D17" s="120">
        <v>17263.45</v>
      </c>
      <c r="E17" s="120">
        <f>(1438.62*0.7/100)*13</f>
        <v>130.91441999999998</v>
      </c>
      <c r="F17" s="120" t="e">
        <f>#REF!</f>
        <v>#REF!</v>
      </c>
      <c r="G17" s="120">
        <v>1620.12</v>
      </c>
      <c r="H17" s="121" t="e">
        <f t="shared" si="0"/>
        <v>#REF!</v>
      </c>
      <c r="I17" s="120" t="e">
        <f t="shared" si="1"/>
        <v>#REF!</v>
      </c>
      <c r="J17" s="121" t="e">
        <f t="shared" si="2"/>
        <v>#REF!</v>
      </c>
      <c r="K17" s="122"/>
      <c r="L17" s="128"/>
      <c r="M17" s="125"/>
      <c r="N17" s="118"/>
      <c r="O17" s="126">
        <v>0</v>
      </c>
    </row>
    <row r="18" spans="1:15" x14ac:dyDescent="0.25">
      <c r="C18" s="131">
        <v>38</v>
      </c>
      <c r="M18" s="16">
        <v>10</v>
      </c>
      <c r="N18" s="130">
        <v>0</v>
      </c>
      <c r="O18" s="132">
        <v>21912.072321503991</v>
      </c>
    </row>
    <row r="19" spans="1:15" x14ac:dyDescent="0.25">
      <c r="B19" s="133"/>
      <c r="C19" s="16">
        <v>28</v>
      </c>
      <c r="M19" s="134"/>
      <c r="N19" s="134"/>
      <c r="O19" s="135"/>
    </row>
    <row r="20" spans="1:15" ht="61.5" customHeight="1" x14ac:dyDescent="0.25">
      <c r="E20" s="136"/>
      <c r="F20" s="136"/>
      <c r="I20" s="143" t="s">
        <v>163</v>
      </c>
      <c r="J20" s="143"/>
    </row>
  </sheetData>
  <mergeCells count="4">
    <mergeCell ref="I20:J20"/>
    <mergeCell ref="A2:A8"/>
    <mergeCell ref="A9:A14"/>
    <mergeCell ref="A15:A17"/>
  </mergeCells>
  <pageMargins left="0.70866141732283472" right="0.70866141732283472" top="1.1811023622047245" bottom="0.74803149606299213" header="0.31496062992125984" footer="0.31496062992125984"/>
  <pageSetup paperSize="9" orientation="portrait" horizontalDpi="300" verticalDpi="300" r:id="rId1"/>
  <headerFooter>
    <oddHeader xml:space="preserve">&amp;CAllegato B)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Personale exsspal</vt:lpstr>
      <vt:lpstr>Foglio1</vt:lpstr>
      <vt:lpstr>Foglio2</vt:lpstr>
      <vt:lpstr>Foglio3</vt:lpstr>
      <vt:lpstr>riepilogo</vt:lpstr>
      <vt:lpstr>conteggi</vt:lpstr>
      <vt:lpstr>Prospetto aggiornato exsspal</vt:lpstr>
      <vt:lpstr>calcoli</vt:lpstr>
      <vt:lpstr>calcoli!Area_stampa</vt:lpstr>
      <vt:lpstr>conteggi!Area_stampa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dpp1048786</cp:lastModifiedBy>
  <cp:lastPrinted>2020-07-31T06:53:30Z</cp:lastPrinted>
  <dcterms:created xsi:type="dcterms:W3CDTF">2020-04-28T08:03:43Z</dcterms:created>
  <dcterms:modified xsi:type="dcterms:W3CDTF">2020-11-16T13:15:42Z</dcterms:modified>
</cp:coreProperties>
</file>